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75" windowWidth="28515" windowHeight="11775"/>
  </bookViews>
  <sheets>
    <sheet name="Sommaire" sheetId="4" r:id="rId1"/>
    <sheet name="Dépenses PF" sheetId="1" r:id="rId2"/>
    <sheet name="Dépenses MS" sheetId="5" r:id="rId3"/>
    <sheet name="Dépenses IJ régime général" sheetId="3" r:id="rId4"/>
    <sheet name="Bénéficiaires PF" sheetId="6" r:id="rId5"/>
    <sheet name="Bénéficiaires MS" sheetId="7" r:id="rId6"/>
  </sheets>
  <calcPr calcId="145621"/>
</workbook>
</file>

<file path=xl/calcChain.xml><?xml version="1.0" encoding="utf-8"?>
<calcChain xmlns="http://schemas.openxmlformats.org/spreadsheetml/2006/main">
  <c r="E4" i="7" l="1"/>
  <c r="F4" i="7"/>
  <c r="G4" i="7"/>
  <c r="H4" i="7"/>
  <c r="D4" i="7"/>
  <c r="E5" i="7"/>
  <c r="F5" i="7"/>
  <c r="G5" i="7"/>
  <c r="H5" i="7"/>
  <c r="D5" i="7"/>
  <c r="C4" i="6" l="1"/>
  <c r="D4" i="6"/>
  <c r="E4" i="6"/>
  <c r="G4" i="6"/>
  <c r="H4" i="6"/>
  <c r="I4" i="6"/>
  <c r="J4" i="6"/>
  <c r="K4" i="6"/>
  <c r="L4" i="6"/>
  <c r="B4" i="6"/>
  <c r="G5" i="6"/>
  <c r="H5" i="6"/>
  <c r="I5" i="6"/>
  <c r="J5" i="6"/>
  <c r="K5" i="6"/>
  <c r="L5" i="6"/>
  <c r="C5" i="6"/>
  <c r="D5" i="6"/>
  <c r="E5" i="6"/>
  <c r="B5" i="6"/>
  <c r="L19" i="6"/>
  <c r="K19" i="6"/>
  <c r="J19" i="6"/>
  <c r="F19" i="6"/>
  <c r="E19" i="6"/>
  <c r="D19" i="6"/>
  <c r="C19" i="6"/>
  <c r="B19" i="6"/>
  <c r="C11" i="3"/>
  <c r="C17" i="3"/>
  <c r="C16" i="3"/>
  <c r="B3" i="3" l="1"/>
  <c r="B4" i="3"/>
  <c r="C10" i="3"/>
  <c r="B10" i="3"/>
  <c r="H4" i="5"/>
  <c r="G4" i="5"/>
  <c r="F4" i="5"/>
  <c r="E4" i="5"/>
  <c r="D4" i="5"/>
  <c r="H5" i="5"/>
  <c r="G5" i="5"/>
  <c r="F5" i="5"/>
  <c r="E5" i="5"/>
  <c r="D5" i="5"/>
  <c r="AA4" i="1"/>
  <c r="Z4" i="1"/>
  <c r="Y4" i="1"/>
  <c r="X4" i="1"/>
  <c r="X5" i="1"/>
  <c r="W4" i="1"/>
  <c r="V4" i="1"/>
  <c r="AA5" i="1"/>
  <c r="Z5" i="1"/>
  <c r="Y5" i="1"/>
  <c r="W5" i="1"/>
  <c r="V5" i="1"/>
  <c r="R4" i="1"/>
  <c r="R5" i="1"/>
  <c r="Q4" i="1"/>
  <c r="Q5" i="1"/>
  <c r="G4" i="1"/>
  <c r="G5" i="1"/>
  <c r="F4" i="1"/>
  <c r="F5" i="1"/>
  <c r="E4" i="1"/>
  <c r="E5" i="1"/>
  <c r="E6" i="5" l="1"/>
  <c r="E7" i="5"/>
  <c r="H6" i="5" l="1"/>
  <c r="H7" i="5"/>
  <c r="H8" i="5"/>
  <c r="H9" i="5"/>
  <c r="H10" i="5"/>
  <c r="H11" i="5"/>
  <c r="H12" i="5"/>
  <c r="H13" i="5"/>
  <c r="H14" i="5"/>
  <c r="H15" i="5"/>
  <c r="H16" i="5"/>
  <c r="H17" i="5"/>
  <c r="H18" i="5"/>
  <c r="H19" i="5"/>
  <c r="G19" i="5" l="1"/>
  <c r="B19" i="5"/>
  <c r="E9" i="3" l="1"/>
  <c r="E8" i="3"/>
  <c r="E7" i="3"/>
  <c r="E6" i="3"/>
  <c r="B15" i="3" l="1"/>
  <c r="B14" i="3"/>
  <c r="B13" i="3"/>
  <c r="B12" i="3"/>
  <c r="C12" i="3" l="1"/>
  <c r="E12" i="3" s="1"/>
  <c r="C14" i="3"/>
  <c r="E14" i="3" s="1"/>
  <c r="C13" i="3"/>
  <c r="E13" i="3" s="1"/>
  <c r="C15" i="3"/>
  <c r="D15" i="3"/>
  <c r="D16" i="3"/>
  <c r="D17" i="3"/>
  <c r="D18" i="3"/>
  <c r="C18" i="3"/>
  <c r="B16" i="3"/>
  <c r="B17" i="3"/>
  <c r="B18" i="3"/>
  <c r="E15" i="3" l="1"/>
  <c r="E18" i="3"/>
  <c r="B5" i="3"/>
  <c r="E5" i="3" s="1"/>
  <c r="AC4" i="1" l="1"/>
  <c r="AC5" i="1"/>
  <c r="AC6" i="1"/>
  <c r="AC7" i="1"/>
  <c r="P19" i="1" l="1"/>
  <c r="O19" i="1"/>
  <c r="N19" i="1"/>
  <c r="M19" i="1"/>
  <c r="L19" i="1"/>
  <c r="K19" i="1"/>
  <c r="J19" i="1"/>
  <c r="I19" i="1"/>
  <c r="H19" i="1"/>
  <c r="D19" i="1"/>
  <c r="C19" i="1"/>
  <c r="B19" i="1"/>
  <c r="E3" i="3" l="1"/>
  <c r="E4" i="3"/>
  <c r="E10" i="3"/>
  <c r="E11" i="3"/>
  <c r="E17" i="3"/>
  <c r="E16" i="3"/>
</calcChain>
</file>

<file path=xl/sharedStrings.xml><?xml version="1.0" encoding="utf-8"?>
<sst xmlns="http://schemas.openxmlformats.org/spreadsheetml/2006/main" count="259" uniqueCount="197">
  <si>
    <t>Sources</t>
  </si>
  <si>
    <t>CLCMG + AFEAMA + AGED</t>
  </si>
  <si>
    <t>Source</t>
  </si>
  <si>
    <t>Rapport CCSS septembre 1998, p.525 et 526.</t>
  </si>
  <si>
    <t>Rapport CCSS septembre 2000, p.581 (régime général).</t>
  </si>
  <si>
    <t>Rapport CCSS septembre 2005, tome 1, p. 146 + Rapport CCSS septembre 2005, tome 1, p. 133.</t>
  </si>
  <si>
    <t>Rapport CCSS septembre 2006, tome 1, p.145.</t>
  </si>
  <si>
    <t>Rapport CCSS septembre 2007 tome 1, p.125 et 131.</t>
  </si>
  <si>
    <t>Rapport CCSS septembre 2011, p.117, 123 et 239.</t>
  </si>
  <si>
    <t>Rapport CCSS septembre 2010, p.123 et 129.</t>
  </si>
  <si>
    <t>Rapport CCSS octobre 2009, p.125 et 130.</t>
  </si>
  <si>
    <t>Rapport CCSS septembre 2008, p.123 et 130.</t>
  </si>
  <si>
    <t>Rapport CCSS septembre 2002, tome 1, thème 7, p. 22 (p.147 sur le pdf) + Rapport CCSS septembre 2004, tome 1, p. 127.</t>
  </si>
  <si>
    <t>Rapport CCSS septembre 2003, tome 1, thème 7, p. 19 (p.132 du pdf) + Rapport CCSS septembre 2004, tome 1, p. 127.</t>
  </si>
  <si>
    <t>Citer cette source:</t>
  </si>
  <si>
    <t>Contacts:</t>
  </si>
  <si>
    <t>Montants des indemnités journalières du régime général (en millions d'euros)</t>
  </si>
  <si>
    <t>Indemnités journalières 
maladie</t>
  </si>
  <si>
    <t>Indemnités journalières 
accidents travail</t>
  </si>
  <si>
    <t>Indemnités journalières 
maternité/paternité</t>
  </si>
  <si>
    <t>Total des indemnités journalières</t>
  </si>
  <si>
    <t>Rapport CCSS septembre 2004, tome 1, p. 127  + Rapport CCSS septembre 2004, tome 1, p. 135.</t>
  </si>
  <si>
    <t>Rapport CCSS septembre 2001, p.369 + Rapport CCSS septembre 2004, tome 1, p. 127.</t>
  </si>
  <si>
    <t>Prévisions des rapports CCSS</t>
  </si>
  <si>
    <t>S'il nous manque le montant d'un type d'indemnité journalière, on l'estime en appliquant la croissance des autres types d'indemnité journalière.</t>
  </si>
  <si>
    <t>A défaut d'avoir les montants directement, on applique les taux de croissance mentionnés dans les rapports CCSS.</t>
  </si>
  <si>
    <t>Année</t>
  </si>
  <si>
    <t>Prévisions des rapports CCSS. On attend le rapport CCSS de 2012 (prévu pour septembre) ou le rapport d'activité de la CNAF (le rapport d'activité 2010 de la CNAF n'a pas encore été publié).</t>
  </si>
  <si>
    <t>Allocations familiales</t>
  </si>
  <si>
    <t>Complément familial (CF)</t>
  </si>
  <si>
    <t>Allocation pour jeune enfant (APJE)</t>
  </si>
  <si>
    <t>Allocation de soutien familial (ASF)</t>
  </si>
  <si>
    <t>Allocation parent isolé (API)</t>
  </si>
  <si>
    <t>Allocation rentrée scolaire (ARS)</t>
  </si>
  <si>
    <t>Allocation parentale d'Education (APE)</t>
  </si>
  <si>
    <t>Allocation différentielle</t>
  </si>
  <si>
    <t>Aides scolaires</t>
  </si>
  <si>
    <t>Allocation d'éducation spéciale (AES)</t>
  </si>
  <si>
    <t>Allocation adulte handicapé (AAH)</t>
  </si>
  <si>
    <t>Allocation de présence parentale (APP)</t>
  </si>
  <si>
    <t>Pour les allocations logement, nous n'avons jusqu'au 2008 inclus que les montans de l'Allocation logement familiale (ALF). Colonne à revoir</t>
  </si>
  <si>
    <t>Le dispositif n'existe pas ou plus.</t>
  </si>
  <si>
    <t>Autres allocations et prestations familiales</t>
  </si>
  <si>
    <t>Autres alloc et prestations pour au handicap</t>
  </si>
  <si>
    <t>Autres prestations sociales</t>
  </si>
  <si>
    <t>Allocations au titre des enfants handicapés (AEEH + AJPP)</t>
  </si>
  <si>
    <t>APP + AGED + AFEAMA</t>
  </si>
  <si>
    <t>Autres prestations (dont AEEH et frais de tutelle)</t>
  </si>
  <si>
    <t>Allocation d'éducation de l'enfant handicapé (AEEH) (qui remplace l'AES)</t>
  </si>
  <si>
    <t>Complément de libre choix de mode de garde (CLCMG)</t>
  </si>
  <si>
    <t>Complément (optionnel) de libre choix d'activité (CLCA/COLCA)</t>
  </si>
  <si>
    <t>Allocation de garde d'enfant à domicile (AGED)</t>
  </si>
  <si>
    <t>Aide à la famille pour l'emploi d'une assistante maternelle agréée (AFEAMA)</t>
  </si>
  <si>
    <t>Montants des prestations familiales (en millions d'euros)</t>
  </si>
  <si>
    <t>Lorsque certaines valeurs pour les années 2011 et 2012 sont manquantes, on applique le taux de croissance des montants pour lesquels les rapports CCSS ont fait des prévisions.</t>
  </si>
  <si>
    <r>
      <rPr>
        <i/>
        <u/>
        <sz val="11"/>
        <color theme="1"/>
        <rFont val="Calibri"/>
        <family val="2"/>
        <scheme val="minor"/>
      </rPr>
      <t xml:space="preserve">Sources : </t>
    </r>
    <r>
      <rPr>
        <sz val="11"/>
        <color theme="1"/>
        <rFont val="Calibri"/>
        <family val="2"/>
        <scheme val="minor"/>
      </rPr>
      <t>rapports CCSS et rapports d'activité de la CNAF (cf. la dernière colonne du tableau pour voir les références exactes pour chaque année).</t>
    </r>
  </si>
  <si>
    <r>
      <rPr>
        <i/>
        <u/>
        <sz val="11"/>
        <color theme="1"/>
        <rFont val="Calibri"/>
        <family val="2"/>
        <scheme val="minor"/>
      </rPr>
      <t>Source :</t>
    </r>
    <r>
      <rPr>
        <sz val="11"/>
        <color theme="1"/>
        <rFont val="Calibri"/>
        <family val="2"/>
        <scheme val="minor"/>
      </rPr>
      <t xml:space="preserve"> Rapports CCSS (cf. la dernière colonne du tableau pour voir les références exactes pour chaque année).</t>
    </r>
  </si>
  <si>
    <t>Montants des minima sociaux (en millons d'euros)</t>
  </si>
  <si>
    <t>Ce document présente les dénombrements des différentes prestations sociales (prestations familiales, minima sociaux, indemnités journalières) tels que présentés dans les différents rapports d'activité des comptes sociaux (Comptes de la Sécurité Sociale, rapports d'activité de la CNAF, etc.).</t>
  </si>
  <si>
    <r>
      <rPr>
        <i/>
        <u/>
        <sz val="11"/>
        <color theme="1"/>
        <rFont val="Calibri"/>
        <family val="2"/>
        <scheme val="minor"/>
      </rPr>
      <t>Note :</t>
    </r>
    <r>
      <rPr>
        <sz val="11"/>
        <color theme="1"/>
        <rFont val="Calibri"/>
        <family val="2"/>
        <scheme val="minor"/>
      </rPr>
      <t xml:space="preserve"> Selon les années, les rapports CCSS communiquent des montants plus ou moins agrégés, d'où l'existence de cases sommant certaines prestations alors que la décomposition n'est pas renseignée.</t>
    </r>
  </si>
  <si>
    <t>Allocation d'adoption</t>
  </si>
  <si>
    <t>Nombre de bénéficiaires des prestations familiales (territoires d'outre mer compris)</t>
  </si>
  <si>
    <t>Allocations familiales (AF)</t>
  </si>
  <si>
    <t>Allocation pour jeunes enfants (APJE)</t>
  </si>
  <si>
    <t>Prestation d'acceuil du jeun enfant (PAJE)
Allocation de base</t>
  </si>
  <si>
    <t>Complément de libre choix d'activité (CLCA)</t>
  </si>
  <si>
    <t>Prestation d'acceuil du jeune enfant (PAJE)
Prime à la naissance ou à l'adoption</t>
  </si>
  <si>
    <t>Allocation personnalisée au logement (APL)</t>
  </si>
  <si>
    <t>Allocation de logement familial (ALF)</t>
  </si>
  <si>
    <t>Allocation de logement social (ALS)</t>
  </si>
  <si>
    <t>Allocation de parent isolé (API)</t>
  </si>
  <si>
    <t>Revenu minimum d'insertion (RMI)</t>
  </si>
  <si>
    <t>Revenu de solidarité active (RSA)</t>
  </si>
  <si>
    <t>dont RSA socle seul</t>
  </si>
  <si>
    <t>dont RSA activité seul</t>
  </si>
  <si>
    <t>dont RSA socle et activité</t>
  </si>
  <si>
    <t>Nombre de bénéficiaires des minima sociaux (territoires d'outre mer compris)</t>
  </si>
  <si>
    <t>I. Les dépenses</t>
  </si>
  <si>
    <t>II. Le nombre de bénéficiaires</t>
  </si>
  <si>
    <t>1. Les dépenses de prestations familiales</t>
  </si>
  <si>
    <t>2. Les dépenses de minima sociaux</t>
  </si>
  <si>
    <t>3. Les dépenses d'indemnités journalières</t>
  </si>
  <si>
    <t>1. Le nombre de bénéficiaires des prestations familiales</t>
  </si>
  <si>
    <t>2. Le nombre de bénéficiaires des minima sociaux</t>
  </si>
  <si>
    <t>Dénombrement des prestations sociales</t>
  </si>
  <si>
    <t>Minimum vieillesse*</t>
  </si>
  <si>
    <t>Tableaux CNAF : cf. P:\TAXIPP\Données macro\Transferts\Sources brutes\Données CNAF</t>
  </si>
  <si>
    <t>Fichier chiffres cl_s s_curit_ sociale 2010-1 (cf. P:\TAXIPP\Données macro\Transferts\Sources brutes\Données data.gouv)</t>
  </si>
  <si>
    <t>Tableaux CNAF (cf. P:\TAXIPP\Données macro\Transferts\Sources brutes\Données CNAF) + rapport CCSS septembre 2007, tome 1, p. 205 (pour l'effectif de l'APJE).</t>
  </si>
  <si>
    <t>Fichier minima_sociaux_donnees_departementales-5 : cf. P:\TAXIPP\Données macro\Transferts\Sources brutes\Données data.gouv + Fichier retraites2009-beneficiaires-2 (cf. P:\TAXIPP\Données macro\Transferts\Sources brutes\Données data.gouv)</t>
  </si>
  <si>
    <t>Tableaux CNAF : cf. P:\TAXIPP\Données macro\Transferts\Sources brutes\Données CNAF + Fichier retraites2009-beneficiaires-2 (cf. P:\TAXIPP\Données macro\Transferts\Sources brutes\Données data.gouv)</t>
  </si>
  <si>
    <t>Nous n'avons pas les données pour 1997. Par contre, on connait la croissance globale des bénéficiaires des prestations familiales de 1997 à 1998. On applique cette évolution aux effectifs de toutes les prestations (ce qui revient à supposer que la répartition des bénéficiaires entre les différentes prestations familiales est constante).</t>
  </si>
  <si>
    <t>Allocation de logement familiale (ALF)</t>
  </si>
  <si>
    <t>Revenu de solidarité active (RSA) total (primes et RSA jeune compris)</t>
  </si>
  <si>
    <t>Revenu minimum d'insertion (RMI), hors interessement</t>
  </si>
  <si>
    <t>Rapport CCSS septembre 1998, p. 254. + fichier DEPENSES CNAF TOUS REGIMES France (cf. P:\TAXIPP\Données macro\Transferts\Sources brutes\Données data.gouv)</t>
  </si>
  <si>
    <t>Rapport CCSS septembre 2001, p. 382. + fichier DEPENSES CNAF TOUS REGIMES France (cf. P:\TAXIPP\Données macro\Transferts\Sources brutes\Données data.gouv)</t>
  </si>
  <si>
    <t>Rapport CCSS septembre 2003, tome 1, theme 11, p. 101 (p. 209 sur le pdf). + fichier DEPENSES CNAF TOUS REGIMES France (cf. P:\TAXIPP\Données macro\Transferts\Sources brutes\Données data.gouv)</t>
  </si>
  <si>
    <t>Rapport CCSS septembre 2005, tome 1, p. 183. + fichier DEPENSES CNAF TOUS REGIMES France (cf. P:\TAXIPP\Données macro\Transferts\Sources brutes\Données data.gouv)</t>
  </si>
  <si>
    <t>Rapport CCSS septembre 2007, tome 1, p. 207. + fichier DEPENSES CNAF TOUS REGIMES France (cf. P:\TAXIPP\Données macro\Transferts\Sources brutes\Données data.gouv)</t>
  </si>
  <si>
    <t>Rapport CCSS octobre 2009, p. 195 + rapport d'activité 2008 de la CNAF, p.43 + fichier DEPENSES CNAF TOUS REGIMES France (cf. P:\TAXIPP\Données macro\Transferts\Sources brutes\Données data.gouv)</t>
  </si>
  <si>
    <t>Rapport CCSS septembre 2011, p. 173 + rapport d'activité 2010 de la CNAF, p. 35 + fichier DEPENSES CNAF TOUS REGIMES France (cf. P:\TAXIPP\Données macro\Transferts\Sources brutes\Données data.gouv)</t>
  </si>
  <si>
    <t>Rapport CCSS septembre 2011, p. 173 + rapports d'activité de la CNAF, p. 35 + fichier DEPENSES CNAF TOUS REGIMES France (cf. P:\TAXIPP\Données macro\Transferts\Sources brutes\Données data.gouv)</t>
  </si>
  <si>
    <t>Rapport CCSS septembre 2011, p. 173. + fichier DEPENSES CNAF TOUS REGIMES France (cf. P:\TAXIPP\Données macro\Transferts\Sources brutes\Données data.gouv)</t>
  </si>
  <si>
    <t>* Toute allocation comprise, que ce soit celles pour atteindre le 1er niveau (type AVTS, AVTNS etc…), ou pour atteindre le second niveau (type allocation supplémentaire de vieillesse).</t>
  </si>
  <si>
    <t>Rapport CCSS septembre 1998, p. 254. + fichier DEPENSES CNAF TOUS REGIMES France (cf. P:\TAXIPP\Données macro\Transferts\Sources brutes\Données data.gouv) + rapport FSV 1999, p. 14.</t>
  </si>
  <si>
    <t>Rapport CCSS septembre 2001, p. 382.  + fichier DEPENSES CNAF TOUS REGIMES France (cf. P:\TAXIPP\Données macro\Transferts\Sources brutes\Données data.gouv)  + rapport FSV 1999, p. 14.</t>
  </si>
  <si>
    <t>Rapport CCSS septembre 2001, p. 382. + fichier DEPENSES CNAF TOUS REGIMES France (cf. P:\TAXIPP\Données macro\Transferts\Sources brutes\Données data.gouv)  + rapport FSV 1999, p. 14.</t>
  </si>
  <si>
    <t>Rapport CCSS septembre 2001, p. 382.  + fichier DEPENSES CNAF TOUS REGIMES France (cf. P:\TAXIPP\Données macro\Transferts\Sources brutes\Données data.gouv) + rapport FSV 2003, p. 22.</t>
  </si>
  <si>
    <t>Rapport CCSS septembre 2003, tome 1, theme 11, p. 101 (p. 209 sur le pdf). + fichier DEPENSES CNAF TOUS REGIMES France (cf. P:\TAXIPP\Données macro\Transferts\Sources brutes\Données data.gouv) + rapport FSV 2003, p. 22.</t>
  </si>
  <si>
    <t>Rapport CCSS septembre 2005, tome 1, p. 183. + fichier DEPENSES CNAF TOUS REGIMES France (cf. P:\TAXIPP\Données macro\Transferts\Sources brutes\Données data.gouv) + rapport FSV 2003, p. 22.</t>
  </si>
  <si>
    <t>Rapport CCSS septembre 2005, tome 1, p. 183. + fichier DEPENSES CNAF TOUS REGIMES France (cf. P:\TAXIPP\Données macro\Transferts\Sources brutes\Données data.gouv) + rapport FSV 2007, p. 22.</t>
  </si>
  <si>
    <t>Rapport CCSS septembre 2007, tome 1, p. 207. + fichier DEPENSES CNAF TOUS REGIMES France (cf. P:\TAXIPP\Données macro\Transferts\Sources brutes\Données data.gouv) + rapport FSV 2007, p. 22.</t>
  </si>
  <si>
    <t>Rapport CCSS octobre 2009, p. 195 + rapport d'activité 2008 de la CNAF, p.43 + fichier DEPENSES CNAF TOUS REGIMES France (cf. P:\TAXIPP\Données macro\Transferts\Sources brutes\Données data.gouv) + rapport FSV 2007, p. 22.</t>
  </si>
  <si>
    <t>Rapport CCSS octobre 2009, p. 195 + rapport d'activité 2008 de la CNAF, p.43 + fichier DEPENSES CNAF TOUS REGIMES France (cf. P:\TAXIPP\Données macro\Transferts\Sources brutes\Données data.gouv) + rapport FSV 2010, annexes, p. 11.</t>
  </si>
  <si>
    <t>Rapport CCSS septembre 2011, p. 173 + rapport d'activité 2010 de la CNAF, p. 35 + fichier DEPENSES CNAF TOUS REGIMES France (cf. P:\TAXIPP\Données macro\Transferts\Sources brutes\Données data.gouv) + rapport FSV 2010, annexes, p. 11.</t>
  </si>
  <si>
    <t>Rapport CCSS septembre 2011, p. 173 + rapports d'activité de la CNAF, p. 35 + fichier DEPENSES CNAF TOUS REGIMES France (cf. P:\TAXIPP\Données macro\Transferts\Sources brutes\Données data.gouv) + rapport FSV 2010, annexes, p. 11.</t>
  </si>
  <si>
    <t>Pour estimer les valeurs de 2011 et 2012, nous avons appliqué le taux de croissance de l'année d'avant (nous n'avons pas pris en plus le taux de croissance de 2009 car avec la création du RSA, cela aurait surestimé la croissance entre 2010 et 2012).</t>
  </si>
  <si>
    <t>Pour estimer les valeurs de 2011 et 2012, nous avons appliqué la moyenne des taux de croissance des deux années précédentes.</t>
  </si>
  <si>
    <t>depenses_af</t>
  </si>
  <si>
    <t>depenses_cfam</t>
  </si>
  <si>
    <t>depenses_apje</t>
  </si>
  <si>
    <t>depenses_alf</t>
  </si>
  <si>
    <t>depenses_als</t>
  </si>
  <si>
    <t>depenses_apl</t>
  </si>
  <si>
    <t>depenses_asf</t>
  </si>
  <si>
    <t>depenses_ars</t>
  </si>
  <si>
    <t>depenses_ape</t>
  </si>
  <si>
    <t>depenses_alloc_diff</t>
  </si>
  <si>
    <t>depenses_aides_scol</t>
  </si>
  <si>
    <t>depenses_aged</t>
  </si>
  <si>
    <t>depenses_afeama</t>
  </si>
  <si>
    <t>depenses_aes</t>
  </si>
  <si>
    <t>depenses_aeeh</t>
  </si>
  <si>
    <t>depenses_app</t>
  </si>
  <si>
    <t>depenses_autres_pf</t>
  </si>
  <si>
    <t>depenses_autres_handic</t>
  </si>
  <si>
    <t>depenses_autres</t>
  </si>
  <si>
    <t>depenses_paje_naiss_base</t>
  </si>
  <si>
    <t>annee</t>
  </si>
  <si>
    <t>Prestation d'acceuil du jeune enfant (PAJE)*</t>
  </si>
  <si>
    <t>Dont prime à la naissance (adoption non inclus)*</t>
  </si>
  <si>
    <t>Dont allocation de base (enfants adoptés non inclus)*</t>
  </si>
  <si>
    <t>Dont Complément (optionnel) de libre choix d'activité (CLCA/COLCA) à taux plein*</t>
  </si>
  <si>
    <t>Dont Complément (optionnel) de libre choix d'activité (CLCA/COLCA) à taux partiel*</t>
  </si>
  <si>
    <t>* La décomposition des montans de la PAJE n'est pas exhaustive. Cette décomposition énumère seulement les variables simulées dans TAXIPP 0.1.</t>
  </si>
  <si>
    <t>PAJE 
prime à la naissance et allocation de base**</t>
  </si>
  <si>
    <t>Prestation d'acceuil du jeune enfant 
Allocation de base + prime à la naissance + APJE**</t>
  </si>
  <si>
    <t>CLCA + COLCA + APE**</t>
  </si>
  <si>
    <t>** Ces données sont celles des rapports CCSS. Nous avons des données plus détaillées grâce au fichier DEPENSES CNAF TOUS REGIMES France (cf. P:\TAXIPP\Données macro\Transferts\Sources brutes\Données data.gouv). Néanmoins, on garde les données CCSS car elles contiennent des prévisions pour les années 2011 et 2012.</t>
  </si>
  <si>
    <t>Nous utilisons les taux de croissance issues des prévisions des repports CCSS.</t>
  </si>
  <si>
    <t>depenses_alloc_adopt</t>
  </si>
  <si>
    <t>depenses_paje</t>
  </si>
  <si>
    <t>depenses_paje_base</t>
  </si>
  <si>
    <t>depenses_paje_naiss</t>
  </si>
  <si>
    <t>depenses_paje_clca_plein</t>
  </si>
  <si>
    <t>depenses_paje_clca_partiel</t>
  </si>
  <si>
    <t>depenses_clcmg</t>
  </si>
  <si>
    <t>depenses_paje_naiss_base_apje</t>
  </si>
  <si>
    <t>depenses_clcmg_afeama_aged</t>
  </si>
  <si>
    <t>depenses_clca_colca_ape</t>
  </si>
  <si>
    <t>depenses_enfants_handic</t>
  </si>
  <si>
    <t>depenses_autres_prest</t>
  </si>
  <si>
    <t>depenses_app_aged_afeama</t>
  </si>
  <si>
    <t>depenses_api</t>
  </si>
  <si>
    <t>depenses_rmi</t>
  </si>
  <si>
    <t>depenses_rsa</t>
  </si>
  <si>
    <t>depenses_rsa_act</t>
  </si>
  <si>
    <t>depenses_aah</t>
  </si>
  <si>
    <t>depenses_mv</t>
  </si>
  <si>
    <t>nb_benef_af</t>
  </si>
  <si>
    <t>nb_benef_cfam</t>
  </si>
  <si>
    <t>nb_benef_ars</t>
  </si>
  <si>
    <t>nb_benef_asf</t>
  </si>
  <si>
    <t>nb_benef_apje</t>
  </si>
  <si>
    <t>nb_benef_paje_base</t>
  </si>
  <si>
    <t>nb_benef_paje_clca</t>
  </si>
  <si>
    <t>nb_benef_paje_naiss</t>
  </si>
  <si>
    <t>nb_benef_apl</t>
  </si>
  <si>
    <t>nb_benef_alf</t>
  </si>
  <si>
    <t>nb_benef_als</t>
  </si>
  <si>
    <t>nb_benef_api</t>
  </si>
  <si>
    <t>nb_benef_rmi</t>
  </si>
  <si>
    <t>nb_benef_rsa</t>
  </si>
  <si>
    <t>nb_benef_rsa_soc</t>
  </si>
  <si>
    <t>nb_benef_rsa_act</t>
  </si>
  <si>
    <t>nb_benef_mv</t>
  </si>
  <si>
    <t>dont RSA activité (hors RSA jeune et primes comprises)**</t>
  </si>
  <si>
    <t>dont RSA socle (hors RSA jeune)**</t>
  </si>
  <si>
    <t>** le RSA versé aux personnes touchant le RSA socle et activité est répartie dans les deux cases : la partie socle dans la case RSA socle et la partie activité dans la case RSA activité.</t>
  </si>
  <si>
    <t>depenses_rsa_soc</t>
  </si>
  <si>
    <t>nb_benef_rsa_soc_act</t>
  </si>
  <si>
    <t>sources</t>
  </si>
  <si>
    <t>depenses_paje_clca</t>
  </si>
  <si>
    <t>Antoine Bozio, antoine.bozio@ipp.eu</t>
  </si>
  <si>
    <t>Brice Fabre, brice.fabre@ipp.eu</t>
  </si>
  <si>
    <r>
      <rPr>
        <i/>
        <sz val="11"/>
        <color theme="1"/>
        <rFont val="Calibri"/>
        <family val="2"/>
        <scheme val="minor"/>
      </rPr>
      <t>Agrégats de l'IPP: transferts</t>
    </r>
    <r>
      <rPr>
        <sz val="11"/>
        <color theme="1"/>
        <rFont val="Calibri"/>
        <family val="2"/>
        <scheme val="minor"/>
      </rPr>
      <t>, Institut des politiques publiques, Janvier 2012.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</si>
</sst>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 &quot;€&quot;"/>
  </numFmts>
  <fonts count="22" x14ac:knownFonts="1">
    <font>
      <sz val="11"/>
      <color theme="1"/>
      <name val="Calibri"/>
      <family val="2"/>
      <scheme val="minor"/>
    </font>
    <font>
      <sz val="11"/>
      <color rgb="FFFF0000"/>
      <name val="Calibri"/>
      <family val="2"/>
      <scheme val="minor"/>
    </font>
    <font>
      <sz val="11"/>
      <name val="Calibri"/>
      <family val="2"/>
      <scheme val="minor"/>
    </font>
    <font>
      <b/>
      <sz val="12"/>
      <color theme="8" tint="-0.249977111117893"/>
      <name val="Calibri"/>
      <family val="2"/>
      <scheme val="minor"/>
    </font>
    <font>
      <u/>
      <sz val="11"/>
      <color theme="8" tint="-0.249977111117893"/>
      <name val="Calibri"/>
      <family val="2"/>
      <scheme val="minor"/>
    </font>
    <font>
      <i/>
      <sz val="11"/>
      <color theme="1"/>
      <name val="Calibri"/>
      <family val="2"/>
      <scheme val="minor"/>
    </font>
    <font>
      <sz val="11"/>
      <color rgb="FF00B050"/>
      <name val="Calibri"/>
      <family val="2"/>
      <scheme val="minor"/>
    </font>
    <font>
      <sz val="11"/>
      <color theme="9" tint="-0.249977111117893"/>
      <name val="Calibri"/>
      <family val="2"/>
      <scheme val="minor"/>
    </font>
    <font>
      <b/>
      <sz val="11"/>
      <color theme="1"/>
      <name val="Calibri"/>
      <family val="2"/>
      <scheme val="minor"/>
    </font>
    <font>
      <b/>
      <sz val="14"/>
      <color theme="1"/>
      <name val="Calibri"/>
      <family val="2"/>
      <scheme val="minor"/>
    </font>
    <font>
      <sz val="11"/>
      <color rgb="FF7030A0"/>
      <name val="Calibri"/>
      <family val="2"/>
      <scheme val="minor"/>
    </font>
    <font>
      <sz val="11"/>
      <color theme="5" tint="-0.499984740745262"/>
      <name val="Calibri"/>
      <family val="2"/>
      <scheme val="minor"/>
    </font>
    <font>
      <i/>
      <u/>
      <sz val="11"/>
      <color theme="1"/>
      <name val="Calibri"/>
      <family val="2"/>
      <scheme val="minor"/>
    </font>
    <font>
      <b/>
      <sz val="11"/>
      <name val="Calibri"/>
      <family val="2"/>
      <scheme val="minor"/>
    </font>
    <font>
      <b/>
      <sz val="14"/>
      <name val="Calibri"/>
      <family val="2"/>
      <scheme val="minor"/>
    </font>
    <font>
      <u/>
      <sz val="11"/>
      <color theme="10"/>
      <name val="Calibri"/>
      <family val="2"/>
      <scheme val="minor"/>
    </font>
    <font>
      <sz val="10"/>
      <name val="Arial"/>
      <family val="2"/>
    </font>
    <font>
      <sz val="10"/>
      <name val="Arial"/>
      <family val="2"/>
    </font>
    <font>
      <sz val="10"/>
      <name val="Times New Roman"/>
      <family val="1"/>
    </font>
    <font>
      <b/>
      <i/>
      <sz val="11"/>
      <color theme="1"/>
      <name val="Calibri"/>
      <family val="2"/>
      <scheme val="minor"/>
    </font>
    <font>
      <sz val="11"/>
      <color indexed="8"/>
      <name val="Calibri"/>
      <family val="2"/>
      <scheme val="minor"/>
    </font>
    <font>
      <sz val="11"/>
      <color theme="9" tint="-0.499984740745262"/>
      <name val="Calibri"/>
      <family val="2"/>
      <scheme val="minor"/>
    </font>
  </fonts>
  <fills count="10">
    <fill>
      <patternFill patternType="none"/>
    </fill>
    <fill>
      <patternFill patternType="gray125"/>
    </fill>
    <fill>
      <patternFill patternType="solid">
        <fgColor rgb="FFFF0000"/>
        <bgColor indexed="64"/>
      </patternFill>
    </fill>
    <fill>
      <patternFill patternType="solid">
        <fgColor theme="8" tint="0.79998168889431442"/>
        <bgColor indexed="64"/>
      </patternFill>
    </fill>
    <fill>
      <patternFill patternType="solid">
        <fgColor rgb="FF00B050"/>
        <bgColor indexed="64"/>
      </patternFill>
    </fill>
    <fill>
      <patternFill patternType="solid">
        <fgColor theme="9" tint="-0.249977111117893"/>
        <bgColor indexed="64"/>
      </patternFill>
    </fill>
    <fill>
      <patternFill patternType="solid">
        <fgColor theme="8" tint="0.39997558519241921"/>
        <bgColor indexed="64"/>
      </patternFill>
    </fill>
    <fill>
      <patternFill patternType="solid">
        <fgColor rgb="FF7030A0"/>
        <bgColor indexed="64"/>
      </patternFill>
    </fill>
    <fill>
      <patternFill patternType="solid">
        <fgColor theme="5" tint="-0.499984740745262"/>
        <bgColor indexed="64"/>
      </patternFill>
    </fill>
    <fill>
      <patternFill patternType="solid">
        <fgColor theme="9" tint="-0.499984740745262"/>
        <bgColor indexed="64"/>
      </patternFill>
    </fill>
  </fills>
  <borders count="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style="medium">
        <color auto="1"/>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5">
    <xf numFmtId="0" fontId="0" fillId="0" borderId="0"/>
    <xf numFmtId="0" fontId="15" fillId="0" borderId="0" applyNumberFormat="0" applyFill="0" applyBorder="0" applyAlignment="0" applyProtection="0"/>
    <xf numFmtId="0" fontId="16" fillId="0" borderId="0"/>
    <xf numFmtId="0" fontId="17" fillId="0" borderId="0"/>
    <xf numFmtId="0" fontId="18" fillId="0" borderId="0"/>
  </cellStyleXfs>
  <cellXfs count="135">
    <xf numFmtId="0" fontId="0" fillId="0" borderId="0" xfId="0"/>
    <xf numFmtId="0" fontId="0" fillId="2" borderId="0" xfId="0" applyFill="1"/>
    <xf numFmtId="0" fontId="2" fillId="0" borderId="0" xfId="0" applyFont="1"/>
    <xf numFmtId="0" fontId="3" fillId="0" borderId="0" xfId="0" applyFont="1"/>
    <xf numFmtId="0" fontId="4" fillId="3" borderId="1" xfId="0" applyFont="1" applyFill="1" applyBorder="1"/>
    <xf numFmtId="0" fontId="0" fillId="3" borderId="2" xfId="0" applyFill="1" applyBorder="1"/>
    <xf numFmtId="0" fontId="0" fillId="3" borderId="3" xfId="0" applyFill="1" applyBorder="1"/>
    <xf numFmtId="0" fontId="0" fillId="3" borderId="4" xfId="0" applyFill="1" applyBorder="1"/>
    <xf numFmtId="0" fontId="0" fillId="3" borderId="0" xfId="0" applyFill="1" applyBorder="1"/>
    <xf numFmtId="0" fontId="0" fillId="3" borderId="5" xfId="0" applyFill="1" applyBorder="1"/>
    <xf numFmtId="0" fontId="4" fillId="3" borderId="4" xfId="0" applyFont="1" applyFill="1" applyBorder="1"/>
    <xf numFmtId="0" fontId="0" fillId="3" borderId="4" xfId="0" applyFont="1" applyFill="1" applyBorder="1"/>
    <xf numFmtId="0" fontId="0" fillId="3" borderId="0" xfId="0" applyFont="1" applyFill="1" applyBorder="1"/>
    <xf numFmtId="0" fontId="0" fillId="0" borderId="2" xfId="0" applyFill="1" applyBorder="1"/>
    <xf numFmtId="0" fontId="7" fillId="0" borderId="0" xfId="0" applyFont="1"/>
    <xf numFmtId="0" fontId="0" fillId="4" borderId="0" xfId="0" applyFill="1"/>
    <xf numFmtId="0" fontId="0" fillId="5" borderId="0" xfId="0" applyFill="1"/>
    <xf numFmtId="0" fontId="0" fillId="6" borderId="9" xfId="0" applyFont="1" applyFill="1" applyBorder="1" applyAlignment="1">
      <alignment horizontal="center" vertical="center" wrapText="1"/>
    </xf>
    <xf numFmtId="0" fontId="0" fillId="6" borderId="9" xfId="0" applyFont="1" applyFill="1" applyBorder="1" applyAlignment="1">
      <alignment horizontal="center" vertical="center"/>
    </xf>
    <xf numFmtId="164" fontId="2" fillId="0" borderId="13" xfId="0" applyNumberFormat="1" applyFont="1" applyBorder="1" applyAlignment="1">
      <alignment horizontal="center" vertical="center"/>
    </xf>
    <xf numFmtId="164" fontId="7" fillId="0" borderId="13" xfId="0" applyNumberFormat="1" applyFont="1" applyBorder="1" applyAlignment="1">
      <alignment horizontal="center" vertical="center"/>
    </xf>
    <xf numFmtId="164" fontId="0" fillId="0" borderId="13" xfId="0" applyNumberFormat="1" applyBorder="1" applyAlignment="1">
      <alignment horizontal="center" vertical="center"/>
    </xf>
    <xf numFmtId="164" fontId="6" fillId="0" borderId="13" xfId="0" applyNumberFormat="1" applyFont="1" applyBorder="1" applyAlignment="1">
      <alignment horizontal="center" vertical="center"/>
    </xf>
    <xf numFmtId="164" fontId="1" fillId="0" borderId="13" xfId="0" applyNumberFormat="1" applyFont="1" applyBorder="1" applyAlignment="1">
      <alignment horizontal="center" vertical="center"/>
    </xf>
    <xf numFmtId="164" fontId="0" fillId="0" borderId="14" xfId="0" applyNumberFormat="1" applyBorder="1" applyAlignment="1">
      <alignment horizontal="center" vertical="center"/>
    </xf>
    <xf numFmtId="164" fontId="2" fillId="0" borderId="5" xfId="0" applyNumberFormat="1" applyFont="1" applyBorder="1" applyAlignment="1">
      <alignment horizontal="center" vertical="center"/>
    </xf>
    <xf numFmtId="164" fontId="6" fillId="0" borderId="5"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10" fillId="7" borderId="0" xfId="0" applyFont="1" applyFill="1"/>
    <xf numFmtId="0" fontId="0" fillId="8" borderId="0" xfId="0" applyFill="1"/>
    <xf numFmtId="0" fontId="8" fillId="6" borderId="19" xfId="0" applyFont="1" applyFill="1" applyBorder="1" applyAlignment="1">
      <alignment horizontal="center" vertical="center"/>
    </xf>
    <xf numFmtId="0" fontId="0" fillId="0" borderId="15" xfId="0" applyBorder="1"/>
    <xf numFmtId="0" fontId="0" fillId="0" borderId="16" xfId="0" applyBorder="1"/>
    <xf numFmtId="0" fontId="0" fillId="0" borderId="17" xfId="0" applyBorder="1"/>
    <xf numFmtId="0" fontId="0" fillId="6" borderId="21" xfId="0" applyFont="1" applyFill="1" applyBorder="1" applyAlignment="1">
      <alignment horizontal="center" vertical="center" wrapText="1"/>
    </xf>
    <xf numFmtId="0" fontId="8" fillId="6" borderId="22" xfId="0" applyFont="1" applyFill="1" applyBorder="1" applyAlignment="1">
      <alignment horizontal="center" vertical="center"/>
    </xf>
    <xf numFmtId="0" fontId="8" fillId="6" borderId="23" xfId="0" applyFont="1" applyFill="1" applyBorder="1" applyAlignment="1">
      <alignment horizontal="center" vertical="center"/>
    </xf>
    <xf numFmtId="164" fontId="2" fillId="0" borderId="13" xfId="0" applyNumberFormat="1" applyFont="1" applyFill="1" applyBorder="1" applyAlignment="1">
      <alignment horizontal="center" vertical="center"/>
    </xf>
    <xf numFmtId="164" fontId="2" fillId="7" borderId="13" xfId="0" applyNumberFormat="1" applyFont="1" applyFill="1" applyBorder="1" applyAlignment="1">
      <alignment horizontal="center" vertical="center"/>
    </xf>
    <xf numFmtId="164" fontId="11" fillId="0" borderId="13" xfId="0" applyNumberFormat="1" applyFont="1" applyBorder="1" applyAlignment="1">
      <alignment horizontal="center" vertical="center"/>
    </xf>
    <xf numFmtId="0" fontId="8" fillId="6" borderId="18" xfId="0" applyFont="1" applyFill="1" applyBorder="1" applyAlignment="1">
      <alignment horizontal="left" vertical="center"/>
    </xf>
    <xf numFmtId="0" fontId="8" fillId="6" borderId="25" xfId="0" applyFont="1" applyFill="1" applyBorder="1" applyAlignment="1">
      <alignment horizontal="left" vertical="center"/>
    </xf>
    <xf numFmtId="0" fontId="0" fillId="3" borderId="19" xfId="0" applyFill="1"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3" borderId="26" xfId="0" applyFill="1" applyBorder="1" applyAlignment="1">
      <alignment horizontal="center" vertical="center"/>
    </xf>
    <xf numFmtId="164" fontId="2" fillId="7" borderId="14" xfId="0" applyNumberFormat="1" applyFont="1" applyFill="1" applyBorder="1" applyAlignment="1">
      <alignment horizontal="center" vertical="center"/>
    </xf>
    <xf numFmtId="0" fontId="0" fillId="0" borderId="17" xfId="0" applyBorder="1" applyAlignment="1">
      <alignment horizontal="left" vertical="center"/>
    </xf>
    <xf numFmtId="0" fontId="0" fillId="6" borderId="18" xfId="0" applyFill="1" applyBorder="1"/>
    <xf numFmtId="0" fontId="9" fillId="6" borderId="27" xfId="0" applyFont="1" applyFill="1" applyBorder="1" applyAlignment="1">
      <alignment vertical="center"/>
    </xf>
    <xf numFmtId="0" fontId="9" fillId="6" borderId="20" xfId="0" applyFont="1" applyFill="1" applyBorder="1" applyAlignment="1">
      <alignment vertical="center"/>
    </xf>
    <xf numFmtId="0" fontId="8" fillId="6" borderId="9"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8" fillId="6" borderId="25" xfId="0" applyFont="1" applyFill="1" applyBorder="1" applyAlignment="1">
      <alignment horizontal="center" vertical="center" wrapText="1"/>
    </xf>
    <xf numFmtId="0" fontId="0" fillId="3" borderId="19" xfId="0" applyFill="1" applyBorder="1"/>
    <xf numFmtId="0" fontId="0" fillId="3" borderId="26" xfId="0" applyFill="1" applyBorder="1"/>
    <xf numFmtId="164" fontId="0" fillId="7" borderId="12" xfId="0" applyNumberFormat="1" applyFill="1" applyBorder="1" applyAlignment="1">
      <alignment horizontal="center" vertical="center"/>
    </xf>
    <xf numFmtId="164" fontId="2" fillId="7" borderId="12" xfId="0" applyNumberFormat="1" applyFont="1" applyFill="1" applyBorder="1" applyAlignment="1">
      <alignment horizontal="center" vertical="center"/>
    </xf>
    <xf numFmtId="164" fontId="0" fillId="7" borderId="13" xfId="0" applyNumberFormat="1" applyFill="1" applyBorder="1" applyAlignment="1">
      <alignment horizontal="center" vertical="center"/>
    </xf>
    <xf numFmtId="164" fontId="7" fillId="7" borderId="13" xfId="0" applyNumberFormat="1" applyFont="1" applyFill="1" applyBorder="1" applyAlignment="1">
      <alignment horizontal="center" vertical="center"/>
    </xf>
    <xf numFmtId="164" fontId="1" fillId="7" borderId="13" xfId="0" applyNumberFormat="1" applyFont="1" applyFill="1" applyBorder="1" applyAlignment="1">
      <alignment horizontal="center" vertical="center"/>
    </xf>
    <xf numFmtId="164" fontId="0" fillId="7" borderId="14" xfId="0" applyNumberFormat="1" applyFill="1" applyBorder="1" applyAlignment="1">
      <alignment horizontal="center" vertical="center"/>
    </xf>
    <xf numFmtId="0" fontId="15" fillId="0" borderId="0" xfId="1"/>
    <xf numFmtId="0" fontId="8" fillId="0" borderId="0" xfId="0" applyFont="1"/>
    <xf numFmtId="0" fontId="8" fillId="6" borderId="0" xfId="0" applyFont="1" applyFill="1" applyAlignment="1">
      <alignment horizontal="center" vertical="center" wrapText="1"/>
    </xf>
    <xf numFmtId="3" fontId="0" fillId="0" borderId="0" xfId="0" applyNumberFormat="1"/>
    <xf numFmtId="0" fontId="2" fillId="5" borderId="0" xfId="0" applyFont="1" applyFill="1"/>
    <xf numFmtId="164" fontId="20" fillId="0" borderId="13" xfId="0" applyNumberFormat="1" applyFont="1" applyFill="1" applyBorder="1" applyAlignment="1" applyProtection="1">
      <alignment horizontal="center" vertical="center"/>
      <protection locked="0"/>
    </xf>
    <xf numFmtId="164" fontId="21" fillId="0" borderId="13" xfId="0" applyNumberFormat="1" applyFont="1" applyFill="1" applyBorder="1" applyAlignment="1">
      <alignment horizontal="center" vertical="center"/>
    </xf>
    <xf numFmtId="165" fontId="2" fillId="7" borderId="13" xfId="0" applyNumberFormat="1" applyFont="1" applyFill="1" applyBorder="1" applyAlignment="1">
      <alignment horizontal="center" vertical="center"/>
    </xf>
    <xf numFmtId="165" fontId="2" fillId="7" borderId="14" xfId="0" applyNumberFormat="1" applyFont="1" applyFill="1" applyBorder="1" applyAlignment="1">
      <alignment horizontal="center" vertical="center"/>
    </xf>
    <xf numFmtId="165" fontId="20" fillId="7" borderId="13" xfId="0" applyNumberFormat="1" applyFont="1" applyFill="1" applyBorder="1" applyAlignment="1" applyProtection="1">
      <alignment horizontal="center"/>
      <protection locked="0"/>
    </xf>
    <xf numFmtId="165" fontId="20" fillId="0" borderId="13" xfId="0" applyNumberFormat="1" applyFont="1" applyFill="1" applyBorder="1" applyAlignment="1" applyProtection="1">
      <alignment horizontal="center"/>
      <protection locked="0"/>
    </xf>
    <xf numFmtId="0" fontId="10" fillId="0" borderId="0" xfId="0" applyFont="1" applyFill="1"/>
    <xf numFmtId="0" fontId="0" fillId="0" borderId="0" xfId="0" applyFill="1"/>
    <xf numFmtId="164" fontId="2" fillId="0" borderId="4" xfId="0" applyNumberFormat="1" applyFont="1" applyBorder="1" applyAlignment="1">
      <alignment horizontal="center" vertical="center"/>
    </xf>
    <xf numFmtId="165" fontId="21" fillId="0" borderId="13" xfId="0" applyNumberFormat="1" applyFont="1" applyFill="1" applyBorder="1" applyAlignment="1">
      <alignment horizontal="center" vertical="center"/>
    </xf>
    <xf numFmtId="164" fontId="21" fillId="0" borderId="13" xfId="0" applyNumberFormat="1" applyFont="1" applyBorder="1" applyAlignment="1">
      <alignment horizontal="center" vertical="center"/>
    </xf>
    <xf numFmtId="0" fontId="0" fillId="9" borderId="0" xfId="0" applyFill="1"/>
    <xf numFmtId="3" fontId="2" fillId="0" borderId="13" xfId="2" applyNumberFormat="1" applyFont="1" applyFill="1" applyBorder="1" applyAlignment="1">
      <alignment horizontal="center" vertical="center"/>
    </xf>
    <xf numFmtId="3" fontId="2" fillId="0" borderId="13" xfId="3" applyNumberFormat="1" applyFont="1" applyFill="1" applyBorder="1" applyAlignment="1">
      <alignment horizontal="center" vertical="center"/>
    </xf>
    <xf numFmtId="3" fontId="2" fillId="0" borderId="13" xfId="0" applyNumberFormat="1" applyFont="1" applyFill="1" applyBorder="1" applyAlignment="1">
      <alignment horizontal="center" vertical="center"/>
    </xf>
    <xf numFmtId="3" fontId="2" fillId="7" borderId="13" xfId="0" applyNumberFormat="1" applyFont="1" applyFill="1" applyBorder="1" applyAlignment="1">
      <alignment horizontal="center" vertical="center"/>
    </xf>
    <xf numFmtId="3" fontId="1" fillId="0" borderId="13" xfId="0" applyNumberFormat="1" applyFont="1" applyBorder="1" applyAlignment="1">
      <alignment horizontal="center" vertical="center"/>
    </xf>
    <xf numFmtId="3" fontId="1" fillId="7" borderId="13" xfId="0" applyNumberFormat="1" applyFont="1" applyFill="1" applyBorder="1" applyAlignment="1">
      <alignment horizontal="center" vertical="center"/>
    </xf>
    <xf numFmtId="3" fontId="2" fillId="0" borderId="13" xfId="4" applyNumberFormat="1" applyFont="1" applyFill="1" applyBorder="1" applyAlignment="1">
      <alignment horizontal="center" vertical="center"/>
    </xf>
    <xf numFmtId="0" fontId="8" fillId="6" borderId="31" xfId="0" applyFont="1" applyFill="1" applyBorder="1" applyAlignment="1">
      <alignment horizontal="center" vertical="center" wrapText="1"/>
    </xf>
    <xf numFmtId="0" fontId="19" fillId="6" borderId="31" xfId="0" applyFont="1" applyFill="1" applyBorder="1" applyAlignment="1">
      <alignment horizontal="center" vertical="center" wrapText="1"/>
    </xf>
    <xf numFmtId="0" fontId="8" fillId="6" borderId="30" xfId="0" applyFont="1" applyFill="1" applyBorder="1" applyAlignment="1">
      <alignment horizontal="center" vertical="center" wrapText="1"/>
    </xf>
    <xf numFmtId="0" fontId="13" fillId="6" borderId="29" xfId="0" applyFont="1" applyFill="1" applyBorder="1" applyAlignment="1">
      <alignment horizontal="center" vertical="center" wrapText="1"/>
    </xf>
    <xf numFmtId="0" fontId="14" fillId="6" borderId="28" xfId="0" applyFont="1" applyFill="1" applyBorder="1" applyAlignment="1">
      <alignment vertical="center"/>
    </xf>
    <xf numFmtId="0" fontId="14" fillId="6" borderId="32" xfId="0" applyFont="1" applyFill="1" applyBorder="1" applyAlignment="1">
      <alignment vertical="center"/>
    </xf>
    <xf numFmtId="0" fontId="14" fillId="6" borderId="33" xfId="0" applyFont="1" applyFill="1" applyBorder="1" applyAlignment="1">
      <alignment vertical="center"/>
    </xf>
    <xf numFmtId="0" fontId="9" fillId="6" borderId="29" xfId="0" applyFont="1" applyFill="1" applyBorder="1" applyAlignment="1">
      <alignment vertical="center"/>
    </xf>
    <xf numFmtId="0" fontId="9" fillId="6" borderId="34" xfId="0" applyFont="1" applyFill="1" applyBorder="1" applyAlignment="1">
      <alignment vertical="center"/>
    </xf>
    <xf numFmtId="0" fontId="9" fillId="6" borderId="35" xfId="0" applyFont="1" applyFill="1" applyBorder="1" applyAlignment="1">
      <alignment vertical="center"/>
    </xf>
    <xf numFmtId="0" fontId="5" fillId="6" borderId="9" xfId="0" applyFont="1" applyFill="1" applyBorder="1" applyAlignment="1">
      <alignment horizontal="center" vertical="center" wrapText="1"/>
    </xf>
    <xf numFmtId="164" fontId="0" fillId="0" borderId="13" xfId="0" applyNumberFormat="1" applyFont="1" applyBorder="1" applyAlignment="1">
      <alignment horizontal="center" vertical="center"/>
    </xf>
    <xf numFmtId="164" fontId="0" fillId="7" borderId="13" xfId="0" applyNumberFormat="1" applyFont="1" applyFill="1" applyBorder="1" applyAlignment="1">
      <alignment horizontal="center" vertical="center"/>
    </xf>
    <xf numFmtId="164" fontId="1" fillId="0" borderId="12" xfId="0" applyNumberFormat="1" applyFont="1" applyBorder="1" applyAlignment="1">
      <alignment horizontal="center" vertical="center"/>
    </xf>
    <xf numFmtId="164" fontId="20" fillId="0" borderId="14" xfId="0" applyNumberFormat="1" applyFont="1" applyFill="1" applyBorder="1" applyAlignment="1" applyProtection="1">
      <alignment horizontal="center" vertical="center"/>
      <protection locked="0"/>
    </xf>
    <xf numFmtId="164" fontId="2" fillId="0" borderId="14" xfId="0" applyNumberFormat="1" applyFont="1" applyBorder="1" applyAlignment="1">
      <alignment horizontal="center" vertical="center"/>
    </xf>
    <xf numFmtId="164" fontId="1" fillId="7" borderId="12" xfId="0" applyNumberFormat="1" applyFont="1" applyFill="1" applyBorder="1" applyAlignment="1">
      <alignment horizontal="center" vertical="center"/>
    </xf>
    <xf numFmtId="164" fontId="0" fillId="0" borderId="14" xfId="0" applyNumberFormat="1" applyFont="1" applyBorder="1" applyAlignment="1">
      <alignment horizontal="center" vertical="center"/>
    </xf>
    <xf numFmtId="164" fontId="0" fillId="7" borderId="14" xfId="0" applyNumberFormat="1" applyFont="1" applyFill="1" applyBorder="1" applyAlignment="1">
      <alignment horizontal="center" vertical="center"/>
    </xf>
    <xf numFmtId="165" fontId="2" fillId="7" borderId="4" xfId="0" applyNumberFormat="1" applyFont="1" applyFill="1" applyBorder="1" applyAlignment="1">
      <alignment horizontal="center" vertical="center"/>
    </xf>
    <xf numFmtId="165" fontId="20" fillId="0" borderId="14" xfId="0" applyNumberFormat="1" applyFont="1" applyFill="1" applyBorder="1" applyAlignment="1" applyProtection="1">
      <alignment horizontal="center" vertical="center"/>
      <protection locked="0"/>
    </xf>
    <xf numFmtId="165" fontId="20" fillId="0" borderId="13" xfId="0" applyNumberFormat="1" applyFont="1" applyFill="1" applyBorder="1" applyAlignment="1" applyProtection="1">
      <alignment horizontal="center" vertical="center"/>
      <protection locked="0"/>
    </xf>
    <xf numFmtId="165" fontId="20" fillId="0" borderId="4" xfId="0" applyNumberFormat="1" applyFont="1" applyFill="1" applyBorder="1" applyAlignment="1" applyProtection="1">
      <alignment horizontal="center"/>
      <protection locked="0"/>
    </xf>
    <xf numFmtId="165" fontId="21" fillId="0" borderId="4" xfId="0" applyNumberFormat="1" applyFont="1" applyFill="1" applyBorder="1" applyAlignment="1">
      <alignment horizontal="center" vertical="center"/>
    </xf>
    <xf numFmtId="165" fontId="20" fillId="7" borderId="14" xfId="0" applyNumberFormat="1" applyFont="1" applyFill="1" applyBorder="1" applyAlignment="1" applyProtection="1">
      <alignment horizontal="center" vertical="center"/>
      <protection locked="0"/>
    </xf>
    <xf numFmtId="165" fontId="20" fillId="7" borderId="13" xfId="0" applyNumberFormat="1" applyFont="1" applyFill="1" applyBorder="1" applyAlignment="1" applyProtection="1">
      <alignment horizontal="center" vertical="center"/>
      <protection locked="0"/>
    </xf>
    <xf numFmtId="165" fontId="20" fillId="7" borderId="4" xfId="0" applyNumberFormat="1" applyFont="1" applyFill="1" applyBorder="1" applyAlignment="1" applyProtection="1">
      <alignment horizontal="center"/>
      <protection locked="0"/>
    </xf>
    <xf numFmtId="165" fontId="21" fillId="0" borderId="4" xfId="0" applyNumberFormat="1" applyFont="1" applyFill="1" applyBorder="1" applyAlignment="1" applyProtection="1">
      <alignment horizontal="center"/>
      <protection locked="0"/>
    </xf>
    <xf numFmtId="164" fontId="21" fillId="0" borderId="4" xfId="0" applyNumberFormat="1" applyFont="1" applyBorder="1" applyAlignment="1">
      <alignment horizontal="center" vertical="center"/>
    </xf>
    <xf numFmtId="0" fontId="0" fillId="3" borderId="23" xfId="0" applyNumberFormat="1" applyFont="1" applyFill="1" applyBorder="1" applyAlignment="1">
      <alignment horizontal="center" vertical="center"/>
    </xf>
    <xf numFmtId="0" fontId="0" fillId="3" borderId="24" xfId="0" applyNumberFormat="1" applyFont="1" applyFill="1" applyBorder="1" applyAlignment="1">
      <alignment horizontal="center" vertical="center"/>
    </xf>
    <xf numFmtId="164" fontId="0" fillId="0" borderId="5" xfId="0" applyNumberFormat="1" applyFont="1" applyBorder="1" applyAlignment="1">
      <alignment horizontal="center" vertical="center"/>
    </xf>
    <xf numFmtId="164" fontId="0" fillId="0" borderId="11" xfId="0" applyNumberFormat="1" applyFont="1" applyBorder="1" applyAlignment="1">
      <alignment horizontal="center" vertical="center"/>
    </xf>
    <xf numFmtId="3" fontId="7" fillId="0" borderId="14" xfId="0" applyNumberFormat="1" applyFont="1" applyBorder="1" applyAlignment="1">
      <alignment horizontal="center" vertical="center"/>
    </xf>
    <xf numFmtId="3" fontId="7" fillId="7" borderId="14" xfId="0" applyNumberFormat="1" applyFont="1" applyFill="1" applyBorder="1" applyAlignment="1">
      <alignment horizontal="center" vertical="center"/>
    </xf>
    <xf numFmtId="3" fontId="0" fillId="0" borderId="14" xfId="0" applyNumberFormat="1" applyFont="1" applyBorder="1" applyAlignment="1">
      <alignment horizontal="center" vertical="center"/>
    </xf>
    <xf numFmtId="3" fontId="0" fillId="7" borderId="14" xfId="0" applyNumberFormat="1" applyFont="1" applyFill="1" applyBorder="1" applyAlignment="1">
      <alignment horizontal="center" vertical="center"/>
    </xf>
    <xf numFmtId="3" fontId="2" fillId="0" borderId="14" xfId="4" applyNumberFormat="1" applyFont="1" applyFill="1"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9" fillId="6" borderId="20" xfId="0" applyFont="1" applyFill="1" applyBorder="1" applyAlignment="1">
      <alignment horizontal="center" vertical="center" wrapText="1"/>
    </xf>
    <xf numFmtId="0" fontId="9" fillId="6" borderId="10" xfId="0" applyFont="1" applyFill="1" applyBorder="1" applyAlignment="1">
      <alignment horizontal="center" vertical="center" wrapText="1"/>
    </xf>
  </cellXfs>
  <cellStyles count="5">
    <cellStyle name="Lien hypertexte" xfId="1" builtinId="8"/>
    <cellStyle name="Normal" xfId="0" builtinId="0"/>
    <cellStyle name="Normal 2" xfId="2"/>
    <cellStyle name="Normal 4" xfId="3"/>
    <cellStyle name="Normal_retraites2009-1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685800</xdr:colOff>
      <xdr:row>2</xdr:row>
      <xdr:rowOff>0</xdr:rowOff>
    </xdr:from>
    <xdr:to>
      <xdr:col>15</xdr:col>
      <xdr:colOff>753889</xdr:colOff>
      <xdr:row>7</xdr:row>
      <xdr:rowOff>146555</xdr:rowOff>
    </xdr:to>
    <xdr:pic>
      <xdr:nvPicPr>
        <xdr:cNvPr id="2" name="Image 1" descr="logo_ipp.png"/>
        <xdr:cNvPicPr>
          <a:picLocks noChangeAspect="1"/>
        </xdr:cNvPicPr>
      </xdr:nvPicPr>
      <xdr:blipFill>
        <a:blip xmlns:r="http://schemas.openxmlformats.org/officeDocument/2006/relationships" r:embed="rId1" cstate="print"/>
        <a:stretch>
          <a:fillRect/>
        </a:stretch>
      </xdr:blipFill>
      <xdr:spPr>
        <a:xfrm>
          <a:off x="9486900" y="390525"/>
          <a:ext cx="2354089" cy="109905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7"/>
  <sheetViews>
    <sheetView tabSelected="1" workbookViewId="0">
      <selection activeCell="J12" sqref="J12"/>
    </sheetView>
  </sheetViews>
  <sheetFormatPr baseColWidth="10" defaultRowHeight="15" x14ac:dyDescent="0.25"/>
  <cols>
    <col min="2" max="2" width="3" customWidth="1"/>
  </cols>
  <sheetData>
    <row r="2" spans="2:16" ht="15.75" x14ac:dyDescent="0.25">
      <c r="B2" s="3" t="s">
        <v>84</v>
      </c>
    </row>
    <row r="4" spans="2:16" x14ac:dyDescent="0.25">
      <c r="B4" s="124" t="s">
        <v>58</v>
      </c>
      <c r="C4" s="125"/>
      <c r="D4" s="125"/>
      <c r="E4" s="125"/>
      <c r="F4" s="125"/>
      <c r="G4" s="125"/>
      <c r="H4" s="125"/>
      <c r="I4" s="125"/>
      <c r="J4" s="125"/>
      <c r="K4" s="125"/>
      <c r="L4" s="126"/>
    </row>
    <row r="5" spans="2:16" x14ac:dyDescent="0.25">
      <c r="B5" s="127"/>
      <c r="C5" s="128"/>
      <c r="D5" s="128"/>
      <c r="E5" s="128"/>
      <c r="F5" s="128"/>
      <c r="G5" s="128"/>
      <c r="H5" s="128"/>
      <c r="I5" s="128"/>
      <c r="J5" s="128"/>
      <c r="K5" s="128"/>
      <c r="L5" s="129"/>
    </row>
    <row r="6" spans="2:16" x14ac:dyDescent="0.25">
      <c r="B6" s="127"/>
      <c r="C6" s="128"/>
      <c r="D6" s="128"/>
      <c r="E6" s="128"/>
      <c r="F6" s="128"/>
      <c r="G6" s="128"/>
      <c r="H6" s="128"/>
      <c r="I6" s="128"/>
      <c r="J6" s="128"/>
      <c r="K6" s="128"/>
      <c r="L6" s="129"/>
    </row>
    <row r="7" spans="2:16" x14ac:dyDescent="0.25">
      <c r="B7" s="127"/>
      <c r="C7" s="128"/>
      <c r="D7" s="128"/>
      <c r="E7" s="128"/>
      <c r="F7" s="128"/>
      <c r="G7" s="128"/>
      <c r="H7" s="128"/>
      <c r="I7" s="128"/>
      <c r="J7" s="128"/>
      <c r="K7" s="128"/>
      <c r="L7" s="129"/>
    </row>
    <row r="8" spans="2:16" x14ac:dyDescent="0.25">
      <c r="B8" s="130"/>
      <c r="C8" s="131"/>
      <c r="D8" s="131"/>
      <c r="E8" s="131"/>
      <c r="F8" s="131"/>
      <c r="G8" s="131"/>
      <c r="H8" s="131"/>
      <c r="I8" s="131"/>
      <c r="J8" s="131"/>
      <c r="K8" s="131"/>
      <c r="L8" s="132"/>
    </row>
    <row r="10" spans="2:16" x14ac:dyDescent="0.25">
      <c r="J10" s="4" t="s">
        <v>14</v>
      </c>
      <c r="K10" s="5"/>
      <c r="L10" s="5"/>
      <c r="M10" s="5"/>
      <c r="N10" s="5"/>
      <c r="O10" s="5"/>
      <c r="P10" s="6"/>
    </row>
    <row r="11" spans="2:16" x14ac:dyDescent="0.25">
      <c r="B11" s="63" t="s">
        <v>77</v>
      </c>
      <c r="J11" s="7" t="s">
        <v>196</v>
      </c>
      <c r="K11" s="8"/>
      <c r="L11" s="8"/>
      <c r="M11" s="8"/>
      <c r="N11" s="8"/>
      <c r="O11" s="8"/>
      <c r="P11" s="9"/>
    </row>
    <row r="12" spans="2:16" x14ac:dyDescent="0.25">
      <c r="C12" s="62" t="s">
        <v>79</v>
      </c>
      <c r="J12" s="7"/>
      <c r="K12" s="8"/>
      <c r="L12" s="8"/>
      <c r="M12" s="8"/>
      <c r="N12" s="8"/>
      <c r="O12" s="8"/>
      <c r="P12" s="9"/>
    </row>
    <row r="13" spans="2:16" x14ac:dyDescent="0.25">
      <c r="C13" s="62" t="s">
        <v>80</v>
      </c>
      <c r="J13" s="10" t="s">
        <v>15</v>
      </c>
      <c r="K13" s="8"/>
      <c r="L13" s="8"/>
      <c r="M13" s="8"/>
      <c r="N13" s="8"/>
      <c r="O13" s="8"/>
      <c r="P13" s="9"/>
    </row>
    <row r="14" spans="2:16" x14ac:dyDescent="0.25">
      <c r="C14" s="62" t="s">
        <v>81</v>
      </c>
      <c r="J14" s="7" t="s">
        <v>194</v>
      </c>
      <c r="K14" s="8"/>
      <c r="L14" s="8"/>
      <c r="M14" s="8"/>
      <c r="N14" s="8"/>
      <c r="O14" s="8"/>
      <c r="P14" s="9"/>
    </row>
    <row r="15" spans="2:16" x14ac:dyDescent="0.25">
      <c r="B15" s="63" t="s">
        <v>78</v>
      </c>
      <c r="J15" s="11" t="s">
        <v>195</v>
      </c>
      <c r="K15" s="12"/>
      <c r="L15" s="12"/>
      <c r="M15" s="8"/>
      <c r="N15" s="8"/>
      <c r="O15" s="8"/>
      <c r="P15" s="9"/>
    </row>
    <row r="16" spans="2:16" x14ac:dyDescent="0.25">
      <c r="C16" s="62" t="s">
        <v>82</v>
      </c>
      <c r="J16" s="13"/>
      <c r="K16" s="13"/>
      <c r="L16" s="13"/>
      <c r="M16" s="13"/>
      <c r="N16" s="13"/>
      <c r="O16" s="13"/>
      <c r="P16" s="13"/>
    </row>
    <row r="17" spans="3:3" x14ac:dyDescent="0.25">
      <c r="C17" s="62" t="s">
        <v>83</v>
      </c>
    </row>
  </sheetData>
  <mergeCells count="1">
    <mergeCell ref="B4:L8"/>
  </mergeCells>
  <hyperlinks>
    <hyperlink ref="C12" location="'Dépenses PF'!A1" display="1. Les dépenses de prestations familiales"/>
    <hyperlink ref="C13" location="'Dépenses MS'!A1" display="2. Les dépenses de minima sociaux"/>
    <hyperlink ref="C14" location="'Dépenses IJ régime général'!A1" display="3. Les dépenses d'indemnités journalières"/>
    <hyperlink ref="C16" location="'Bénéficiaires PF'!A1" display="1. Le nombre de bénéficiaires des prestations familiales"/>
    <hyperlink ref="C17" location="'Bénéficiaires MS'!A1" display="2. Le nombre de bénéficiaires des minima sociaux"/>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3"/>
  <sheetViews>
    <sheetView workbookViewId="0">
      <pane xSplit="1" ySplit="3" topLeftCell="V4" activePane="bottomRight" state="frozen"/>
      <selection pane="topRight" activeCell="C1" sqref="C1"/>
      <selection pane="bottomLeft" activeCell="A3" sqref="A3"/>
      <selection pane="bottomRight" activeCell="A5" sqref="A5"/>
    </sheetView>
  </sheetViews>
  <sheetFormatPr baseColWidth="10" defaultRowHeight="15" x14ac:dyDescent="0.25"/>
  <cols>
    <col min="2" max="3" width="13.42578125" customWidth="1"/>
    <col min="4" max="6" width="17.42578125" customWidth="1"/>
    <col min="7" max="7" width="19.28515625" style="14" customWidth="1"/>
    <col min="8" max="8" width="20.5703125" style="2" customWidth="1"/>
    <col min="9" max="9" width="24.140625" customWidth="1"/>
    <col min="10" max="10" width="44" customWidth="1"/>
    <col min="11" max="11" width="20.140625" customWidth="1"/>
    <col min="12" max="12" width="19.5703125" customWidth="1"/>
    <col min="13" max="13" width="20.85546875" customWidth="1"/>
    <col min="14" max="14" width="24" customWidth="1"/>
    <col min="15" max="15" width="17.85546875" customWidth="1"/>
    <col min="16" max="16" width="23.28515625" customWidth="1"/>
    <col min="17" max="17" width="27.42578125" customWidth="1"/>
    <col min="18" max="18" width="35.42578125" style="2" customWidth="1"/>
    <col min="19" max="30" width="29" customWidth="1"/>
    <col min="31" max="32" width="34" customWidth="1"/>
    <col min="33" max="33" width="42.140625" customWidth="1"/>
    <col min="34" max="34" width="34" customWidth="1"/>
    <col min="35" max="35" width="37.85546875" customWidth="1"/>
    <col min="36" max="36" width="183" customWidth="1"/>
  </cols>
  <sheetData>
    <row r="1" spans="1:36" ht="15.75" thickBot="1" x14ac:dyDescent="0.3">
      <c r="A1" t="s">
        <v>139</v>
      </c>
      <c r="B1" t="s">
        <v>119</v>
      </c>
      <c r="C1" t="s">
        <v>120</v>
      </c>
      <c r="D1" t="s">
        <v>121</v>
      </c>
      <c r="E1" t="s">
        <v>122</v>
      </c>
      <c r="F1" t="s">
        <v>123</v>
      </c>
      <c r="G1" t="s">
        <v>124</v>
      </c>
      <c r="H1" t="s">
        <v>125</v>
      </c>
      <c r="I1" t="s">
        <v>126</v>
      </c>
      <c r="J1" t="s">
        <v>127</v>
      </c>
      <c r="K1" t="s">
        <v>128</v>
      </c>
      <c r="L1" t="s">
        <v>129</v>
      </c>
      <c r="M1" t="s">
        <v>130</v>
      </c>
      <c r="N1" t="s">
        <v>131</v>
      </c>
      <c r="O1" t="s">
        <v>151</v>
      </c>
      <c r="P1" t="s">
        <v>132</v>
      </c>
      <c r="Q1" t="s">
        <v>133</v>
      </c>
      <c r="R1" t="s">
        <v>134</v>
      </c>
      <c r="S1" t="s">
        <v>135</v>
      </c>
      <c r="T1" t="s">
        <v>136</v>
      </c>
      <c r="U1" t="s">
        <v>137</v>
      </c>
      <c r="V1" t="s">
        <v>152</v>
      </c>
      <c r="W1" t="s">
        <v>154</v>
      </c>
      <c r="X1" t="s">
        <v>153</v>
      </c>
      <c r="Y1" t="s">
        <v>193</v>
      </c>
      <c r="Z1" t="s">
        <v>155</v>
      </c>
      <c r="AA1" t="s">
        <v>156</v>
      </c>
      <c r="AB1" t="s">
        <v>138</v>
      </c>
      <c r="AC1" t="s">
        <v>157</v>
      </c>
      <c r="AD1" t="s">
        <v>158</v>
      </c>
      <c r="AE1" t="s">
        <v>159</v>
      </c>
      <c r="AF1" t="s">
        <v>160</v>
      </c>
      <c r="AG1" t="s">
        <v>161</v>
      </c>
      <c r="AH1" t="s">
        <v>163</v>
      </c>
      <c r="AI1" t="s">
        <v>162</v>
      </c>
      <c r="AJ1" t="s">
        <v>192</v>
      </c>
    </row>
    <row r="2" spans="1:36" ht="75" customHeight="1" x14ac:dyDescent="0.25">
      <c r="A2" s="48"/>
      <c r="B2" s="49" t="s">
        <v>53</v>
      </c>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50"/>
    </row>
    <row r="3" spans="1:36" ht="60" x14ac:dyDescent="0.25">
      <c r="A3" s="30" t="s">
        <v>26</v>
      </c>
      <c r="B3" s="51" t="s">
        <v>28</v>
      </c>
      <c r="C3" s="51" t="s">
        <v>29</v>
      </c>
      <c r="D3" s="51" t="s">
        <v>30</v>
      </c>
      <c r="E3" s="51" t="s">
        <v>92</v>
      </c>
      <c r="F3" s="51" t="s">
        <v>69</v>
      </c>
      <c r="G3" s="52" t="s">
        <v>67</v>
      </c>
      <c r="H3" s="52" t="s">
        <v>31</v>
      </c>
      <c r="I3" s="51" t="s">
        <v>33</v>
      </c>
      <c r="J3" s="51" t="s">
        <v>34</v>
      </c>
      <c r="K3" s="51" t="s">
        <v>35</v>
      </c>
      <c r="L3" s="51" t="s">
        <v>36</v>
      </c>
      <c r="M3" s="51" t="s">
        <v>51</v>
      </c>
      <c r="N3" s="51" t="s">
        <v>52</v>
      </c>
      <c r="O3" s="51" t="s">
        <v>60</v>
      </c>
      <c r="P3" s="51" t="s">
        <v>37</v>
      </c>
      <c r="Q3" s="51" t="s">
        <v>48</v>
      </c>
      <c r="R3" s="52" t="s">
        <v>39</v>
      </c>
      <c r="S3" s="51" t="s">
        <v>42</v>
      </c>
      <c r="T3" s="51" t="s">
        <v>43</v>
      </c>
      <c r="U3" s="51" t="s">
        <v>44</v>
      </c>
      <c r="V3" s="51" t="s">
        <v>140</v>
      </c>
      <c r="W3" s="96" t="s">
        <v>141</v>
      </c>
      <c r="X3" s="96" t="s">
        <v>142</v>
      </c>
      <c r="Y3" s="51" t="s">
        <v>50</v>
      </c>
      <c r="Z3" s="96" t="s">
        <v>143</v>
      </c>
      <c r="AA3" s="96" t="s">
        <v>144</v>
      </c>
      <c r="AB3" s="51" t="s">
        <v>146</v>
      </c>
      <c r="AC3" s="51" t="s">
        <v>49</v>
      </c>
      <c r="AD3" s="51" t="s">
        <v>147</v>
      </c>
      <c r="AE3" s="51" t="s">
        <v>1</v>
      </c>
      <c r="AF3" s="51" t="s">
        <v>148</v>
      </c>
      <c r="AG3" s="51" t="s">
        <v>45</v>
      </c>
      <c r="AH3" s="51" t="s">
        <v>46</v>
      </c>
      <c r="AI3" s="51" t="s">
        <v>47</v>
      </c>
      <c r="AJ3" s="53" t="s">
        <v>0</v>
      </c>
    </row>
    <row r="4" spans="1:36" x14ac:dyDescent="0.25">
      <c r="A4" s="54">
        <v>2012</v>
      </c>
      <c r="B4" s="99">
        <v>12833</v>
      </c>
      <c r="C4" s="99">
        <v>1675</v>
      </c>
      <c r="D4" s="56"/>
      <c r="E4" s="68">
        <f>E5*(B4+C4+H4+I4+AB4+AC4+AF4+AH4+AI4)/(B5+C5+H5+I5+AB5+AC5+AF5+AH5+AI5)</f>
        <v>4333.5805819746802</v>
      </c>
      <c r="F4" s="68">
        <f>F5*(B4+C4+H4+I4+AB4+AC4+AF4+AH4+AI4)/(B5+C5+H5+I5+AB5+AC5+AF5+AH5+AI5)</f>
        <v>5130.0915556260743</v>
      </c>
      <c r="G4" s="68">
        <f>G5*(B4+C4+H4+I4+AB4+AC4+AF4+AH4+AI4)/(B5+C5+H5+I5+AB5+AC5+AF5+AH5+AI5)</f>
        <v>7170.012433901341</v>
      </c>
      <c r="H4" s="99">
        <v>1282</v>
      </c>
      <c r="I4" s="99">
        <v>1531</v>
      </c>
      <c r="J4" s="102"/>
      <c r="K4" s="99"/>
      <c r="L4" s="99"/>
      <c r="M4" s="102"/>
      <c r="N4" s="102"/>
      <c r="O4" s="102"/>
      <c r="P4" s="102"/>
      <c r="Q4" s="39">
        <f>Q5*(B4+C4+H4+I4+AB4+AC4+AF4+AH4+AI4)/(B5+C5+H5+I5+AB5+AC5+AF5+AH5+AI5)</f>
        <v>709.88467765918779</v>
      </c>
      <c r="R4" s="39">
        <f>R5*(B4+C4+H4+I4+AB4+AC4+AF4+AH4+AI4)/(B5+C5+H5+I5+AB5+AC5+AF5+AH5+AI5)</f>
        <v>54.285298879820246</v>
      </c>
      <c r="S4" s="99"/>
      <c r="T4" s="99"/>
      <c r="U4" s="99"/>
      <c r="V4" s="22">
        <f t="shared" ref="V4:Y5" si="0">V5*$AB4/$AB5</f>
        <v>12794.343682479108</v>
      </c>
      <c r="W4" s="22">
        <f t="shared" si="0"/>
        <v>675.54009621248701</v>
      </c>
      <c r="X4" s="22">
        <f t="shared" si="0"/>
        <v>4372.0524101126857</v>
      </c>
      <c r="Y4" s="22">
        <f t="shared" si="0"/>
        <v>2247.6254315595211</v>
      </c>
      <c r="Z4" s="22">
        <f>Z5*$AF4/$AF5</f>
        <v>1497.1461898021512</v>
      </c>
      <c r="AA4" s="22">
        <f>AA5*$AF4/$AF5</f>
        <v>537.12903935193538</v>
      </c>
      <c r="AB4" s="99">
        <v>5069</v>
      </c>
      <c r="AC4" s="99">
        <f>5493+329+125</f>
        <v>5947</v>
      </c>
      <c r="AD4" s="99"/>
      <c r="AE4" s="99"/>
      <c r="AF4" s="99">
        <v>2083</v>
      </c>
      <c r="AG4" s="99"/>
      <c r="AH4" s="99">
        <v>57</v>
      </c>
      <c r="AI4" s="99">
        <v>1116</v>
      </c>
      <c r="AJ4" s="31" t="s">
        <v>103</v>
      </c>
    </row>
    <row r="5" spans="1:36" x14ac:dyDescent="0.25">
      <c r="A5" s="54">
        <v>2011</v>
      </c>
      <c r="B5" s="23">
        <v>12427</v>
      </c>
      <c r="C5" s="23">
        <v>1647</v>
      </c>
      <c r="D5" s="58"/>
      <c r="E5" s="68">
        <f>E6*(B5+C5+H5+I5+AB5+AC5+AF5+AH5+AI5)/(B6+C6+H6+I6+AB6+AC6+AF6+AH6+AI6)</f>
        <v>4213.1461898316811</v>
      </c>
      <c r="F5" s="68">
        <f>F6*(B5+C5+H5+I5+AB5+AC5+AF5+AH5+AI5)/(B6+C6+H6+I6+AB6+AC6+AF6+AH6+AI6)</f>
        <v>4987.5213538142907</v>
      </c>
      <c r="G5" s="68">
        <f>G6*(B5+C5+H5+I5+AB5+AC5+AF5+AH5+AI5)/(B6+C6+H6+I6+AB6+AC6+AF6+AH6+AI6)</f>
        <v>6970.7508595980025</v>
      </c>
      <c r="H5" s="23">
        <v>1252</v>
      </c>
      <c r="I5" s="23">
        <v>1495</v>
      </c>
      <c r="J5" s="60"/>
      <c r="K5" s="23"/>
      <c r="L5" s="23"/>
      <c r="M5" s="60"/>
      <c r="N5" s="60"/>
      <c r="O5" s="60"/>
      <c r="P5" s="60"/>
      <c r="Q5" s="39">
        <f>Q6*(B5+C5+H5+I5+AB5+AC5+AF5+AH5+AI5)/(B6+C6+H6+I6+AB6+AC6+AF6+AH6+AI6)</f>
        <v>690.15629646763375</v>
      </c>
      <c r="R5" s="39">
        <f>R6*(B5+C5+H5+I5+AB5+AC5+AF5+AH5+AI5)/(B6+C6+H6+I6+AB6+AC6+AF6+AH6+AI6)</f>
        <v>52.776657965171992</v>
      </c>
      <c r="S5" s="23"/>
      <c r="T5" s="23"/>
      <c r="U5" s="23"/>
      <c r="V5" s="22">
        <f t="shared" si="0"/>
        <v>12519.223646694885</v>
      </c>
      <c r="W5" s="22">
        <f t="shared" si="0"/>
        <v>661.01378520693152</v>
      </c>
      <c r="X5" s="22">
        <f t="shared" si="0"/>
        <v>4278.0390519153525</v>
      </c>
      <c r="Y5" s="22">
        <f t="shared" si="0"/>
        <v>2199.2941685806322</v>
      </c>
      <c r="Z5" s="22">
        <f>Z6*$AF5/$AF6</f>
        <v>1553.9270582584018</v>
      </c>
      <c r="AA5" s="22">
        <f>AA6*$AF5/$AF6</f>
        <v>557.50023191497075</v>
      </c>
      <c r="AB5" s="23">
        <v>4960</v>
      </c>
      <c r="AC5" s="23">
        <f>5223+313+105</f>
        <v>5641</v>
      </c>
      <c r="AD5" s="23"/>
      <c r="AE5" s="23"/>
      <c r="AF5" s="23">
        <v>2162</v>
      </c>
      <c r="AG5" s="23"/>
      <c r="AH5" s="23">
        <v>54</v>
      </c>
      <c r="AI5" s="23">
        <v>1077</v>
      </c>
      <c r="AJ5" s="32" t="s">
        <v>103</v>
      </c>
    </row>
    <row r="6" spans="1:36" x14ac:dyDescent="0.25">
      <c r="A6" s="54">
        <v>2010</v>
      </c>
      <c r="B6" s="21">
        <v>12367</v>
      </c>
      <c r="C6" s="21">
        <v>1632</v>
      </c>
      <c r="D6" s="58"/>
      <c r="E6" s="67">
        <v>4151.1457966100006</v>
      </c>
      <c r="F6" s="67">
        <v>4914.1253045900012</v>
      </c>
      <c r="G6" s="67">
        <v>6868.1697302299972</v>
      </c>
      <c r="H6" s="19">
        <v>1253</v>
      </c>
      <c r="I6" s="21">
        <v>1489</v>
      </c>
      <c r="J6" s="58"/>
      <c r="K6" s="21"/>
      <c r="L6" s="21"/>
      <c r="M6" s="58"/>
      <c r="N6" s="58"/>
      <c r="O6" s="58"/>
      <c r="P6" s="58"/>
      <c r="Q6" s="21">
        <v>680</v>
      </c>
      <c r="R6" s="19">
        <v>52</v>
      </c>
      <c r="S6" s="21"/>
      <c r="T6" s="21"/>
      <c r="U6" s="97"/>
      <c r="V6" s="67">
        <v>12380.401610290002</v>
      </c>
      <c r="W6" s="67">
        <v>653.68399524999984</v>
      </c>
      <c r="X6" s="67">
        <v>4230.6011188800012</v>
      </c>
      <c r="Y6" s="67">
        <v>2174.9068340500003</v>
      </c>
      <c r="Z6" s="67">
        <v>1600.6454943300002</v>
      </c>
      <c r="AA6" s="67">
        <v>574.26133971999991</v>
      </c>
      <c r="AB6" s="21">
        <v>4905</v>
      </c>
      <c r="AC6" s="21">
        <f>4911+300+90</f>
        <v>5301</v>
      </c>
      <c r="AD6" s="21"/>
      <c r="AE6" s="21"/>
      <c r="AF6" s="21">
        <v>2227</v>
      </c>
      <c r="AG6" s="21"/>
      <c r="AH6" s="21">
        <v>51</v>
      </c>
      <c r="AI6" s="21">
        <v>1038</v>
      </c>
      <c r="AJ6" s="32" t="s">
        <v>102</v>
      </c>
    </row>
    <row r="7" spans="1:36" x14ac:dyDescent="0.25">
      <c r="A7" s="54">
        <v>2009</v>
      </c>
      <c r="B7" s="21">
        <v>12535</v>
      </c>
      <c r="C7" s="21">
        <v>1629</v>
      </c>
      <c r="D7" s="58"/>
      <c r="E7" s="67">
        <v>4098.7625065499988</v>
      </c>
      <c r="F7" s="67">
        <v>4850.0651203500001</v>
      </c>
      <c r="G7" s="67">
        <v>6719.0564874700021</v>
      </c>
      <c r="H7" s="19">
        <v>1257</v>
      </c>
      <c r="I7" s="21">
        <v>1495</v>
      </c>
      <c r="J7" s="58"/>
      <c r="K7" s="21"/>
      <c r="L7" s="21"/>
      <c r="M7" s="58"/>
      <c r="N7" s="58"/>
      <c r="O7" s="58"/>
      <c r="P7" s="58"/>
      <c r="Q7" s="21">
        <v>670</v>
      </c>
      <c r="R7" s="19">
        <v>50</v>
      </c>
      <c r="S7" s="21"/>
      <c r="T7" s="21"/>
      <c r="U7" s="97"/>
      <c r="V7" s="67">
        <v>12050.862357800001</v>
      </c>
      <c r="W7" s="67">
        <v>650.06644988999994</v>
      </c>
      <c r="X7" s="67">
        <v>4217.8165245800019</v>
      </c>
      <c r="Y7" s="67">
        <v>2258.0643992300002</v>
      </c>
      <c r="Z7" s="67">
        <v>1686.6425573400002</v>
      </c>
      <c r="AA7" s="67">
        <v>571.42184189000011</v>
      </c>
      <c r="AB7" s="21">
        <v>4888</v>
      </c>
      <c r="AC7" s="21">
        <f>4563+287+55</f>
        <v>4905</v>
      </c>
      <c r="AD7" s="21"/>
      <c r="AE7" s="21"/>
      <c r="AF7" s="21">
        <v>2310</v>
      </c>
      <c r="AG7" s="21"/>
      <c r="AH7" s="21">
        <v>102</v>
      </c>
      <c r="AI7" s="21">
        <v>1016</v>
      </c>
      <c r="AJ7" s="32" t="s">
        <v>101</v>
      </c>
    </row>
    <row r="8" spans="1:36" x14ac:dyDescent="0.25">
      <c r="A8" s="54">
        <v>2008</v>
      </c>
      <c r="B8" s="21">
        <v>12342</v>
      </c>
      <c r="C8" s="21">
        <v>1595</v>
      </c>
      <c r="D8" s="59"/>
      <c r="E8" s="67">
        <v>3951.5015977700004</v>
      </c>
      <c r="F8" s="67">
        <v>4763.8441676900002</v>
      </c>
      <c r="G8" s="67">
        <v>6573.921285739998</v>
      </c>
      <c r="H8" s="19">
        <v>1163</v>
      </c>
      <c r="I8" s="21">
        <v>1487</v>
      </c>
      <c r="J8" s="58"/>
      <c r="K8" s="21"/>
      <c r="L8" s="21"/>
      <c r="M8" s="58"/>
      <c r="N8" s="58"/>
      <c r="O8" s="58"/>
      <c r="P8" s="58"/>
      <c r="Q8" s="21">
        <v>655</v>
      </c>
      <c r="R8" s="19">
        <v>51</v>
      </c>
      <c r="S8" s="21"/>
      <c r="T8" s="21"/>
      <c r="U8" s="97"/>
      <c r="V8" s="67">
        <v>11420.201822150002</v>
      </c>
      <c r="W8" s="67">
        <v>633.60476423000011</v>
      </c>
      <c r="X8" s="67">
        <v>4095.5255955100006</v>
      </c>
      <c r="Y8" s="67">
        <v>2256.4474535300001</v>
      </c>
      <c r="Z8" s="67">
        <v>1707.1021190300003</v>
      </c>
      <c r="AA8" s="67">
        <v>549.34533450000004</v>
      </c>
      <c r="AB8" s="21"/>
      <c r="AC8" s="21"/>
      <c r="AD8" s="21">
        <v>4751</v>
      </c>
      <c r="AE8" s="21">
        <v>4568</v>
      </c>
      <c r="AF8" s="21">
        <v>2257</v>
      </c>
      <c r="AG8" s="21">
        <v>706</v>
      </c>
      <c r="AH8" s="21"/>
      <c r="AI8" s="21"/>
      <c r="AJ8" s="32" t="s">
        <v>100</v>
      </c>
    </row>
    <row r="9" spans="1:36" x14ac:dyDescent="0.25">
      <c r="A9" s="54">
        <v>2007</v>
      </c>
      <c r="B9" s="21">
        <v>12300</v>
      </c>
      <c r="C9" s="21">
        <v>1585</v>
      </c>
      <c r="D9" s="59"/>
      <c r="E9" s="67">
        <v>3672.1462819999997</v>
      </c>
      <c r="F9" s="67">
        <v>4359.0954125500002</v>
      </c>
      <c r="G9" s="67">
        <v>6203.0466709699967</v>
      </c>
      <c r="H9" s="19">
        <v>1181</v>
      </c>
      <c r="I9" s="21">
        <v>1381</v>
      </c>
      <c r="J9" s="58"/>
      <c r="K9" s="21"/>
      <c r="L9" s="21"/>
      <c r="M9" s="58"/>
      <c r="N9" s="58"/>
      <c r="O9" s="58"/>
      <c r="P9" s="58"/>
      <c r="Q9" s="21">
        <v>607</v>
      </c>
      <c r="R9" s="19">
        <v>54</v>
      </c>
      <c r="S9" s="21"/>
      <c r="T9" s="21"/>
      <c r="U9" s="97"/>
      <c r="V9" s="67">
        <v>10592.77953227</v>
      </c>
      <c r="W9" s="67">
        <v>615.49626441999999</v>
      </c>
      <c r="X9" s="67">
        <v>3985.8904816200002</v>
      </c>
      <c r="Y9" s="67">
        <v>2299.1771744499997</v>
      </c>
      <c r="Z9" s="67">
        <v>1760.0064759700001</v>
      </c>
      <c r="AA9" s="67">
        <v>539.17069848000006</v>
      </c>
      <c r="AB9" s="21"/>
      <c r="AC9" s="21"/>
      <c r="AD9" s="21">
        <v>4625</v>
      </c>
      <c r="AE9" s="21">
        <v>3988</v>
      </c>
      <c r="AF9" s="21">
        <v>2298</v>
      </c>
      <c r="AG9" s="21">
        <v>661</v>
      </c>
      <c r="AH9" s="21"/>
      <c r="AI9" s="21"/>
      <c r="AJ9" s="32" t="s">
        <v>100</v>
      </c>
    </row>
    <row r="10" spans="1:36" x14ac:dyDescent="0.25">
      <c r="A10" s="54">
        <v>2006</v>
      </c>
      <c r="B10" s="21">
        <v>12122</v>
      </c>
      <c r="C10" s="21">
        <v>1597</v>
      </c>
      <c r="D10" s="21">
        <v>288</v>
      </c>
      <c r="E10" s="67">
        <v>3615.5795115102319</v>
      </c>
      <c r="F10" s="67">
        <v>4299.7175861899996</v>
      </c>
      <c r="G10" s="67">
        <v>6235.1961427300021</v>
      </c>
      <c r="H10" s="19">
        <v>1099</v>
      </c>
      <c r="I10" s="21">
        <v>1390</v>
      </c>
      <c r="J10" s="21">
        <v>442</v>
      </c>
      <c r="K10" s="21"/>
      <c r="L10" s="21"/>
      <c r="M10" s="21">
        <v>54</v>
      </c>
      <c r="N10" s="21">
        <v>838</v>
      </c>
      <c r="O10" s="21">
        <v>0</v>
      </c>
      <c r="P10" s="58"/>
      <c r="Q10" s="21">
        <v>568</v>
      </c>
      <c r="R10" s="19">
        <v>40</v>
      </c>
      <c r="S10" s="21"/>
      <c r="T10" s="21"/>
      <c r="U10" s="97">
        <v>297</v>
      </c>
      <c r="V10" s="67">
        <v>8817.7372387100004</v>
      </c>
      <c r="W10" s="67">
        <v>614.3775847399985</v>
      </c>
      <c r="X10" s="67">
        <v>3430.8542211500007</v>
      </c>
      <c r="Y10" s="67">
        <v>1975.1355388099998</v>
      </c>
      <c r="Z10" s="67">
        <v>1536.7556920099998</v>
      </c>
      <c r="AA10" s="67">
        <v>438.37984679999988</v>
      </c>
      <c r="AB10" s="21">
        <v>4066</v>
      </c>
      <c r="AC10" s="21">
        <v>2777</v>
      </c>
      <c r="AD10" s="21"/>
      <c r="AE10" s="21"/>
      <c r="AF10" s="21"/>
      <c r="AG10" s="21"/>
      <c r="AH10" s="21"/>
      <c r="AI10" s="21"/>
      <c r="AJ10" s="32" t="s">
        <v>99</v>
      </c>
    </row>
    <row r="11" spans="1:36" x14ac:dyDescent="0.25">
      <c r="A11" s="54">
        <v>2005</v>
      </c>
      <c r="B11" s="21">
        <v>11952</v>
      </c>
      <c r="C11" s="21">
        <v>1595</v>
      </c>
      <c r="D11" s="21">
        <v>986</v>
      </c>
      <c r="E11" s="67">
        <v>3495.197194670001</v>
      </c>
      <c r="F11" s="67">
        <v>4168.2622508499999</v>
      </c>
      <c r="G11" s="67">
        <v>6171.6657089099999</v>
      </c>
      <c r="H11" s="19">
        <v>1071</v>
      </c>
      <c r="I11" s="21">
        <v>1381</v>
      </c>
      <c r="J11" s="21">
        <v>1569</v>
      </c>
      <c r="K11" s="21"/>
      <c r="L11" s="21"/>
      <c r="M11" s="21">
        <v>98</v>
      </c>
      <c r="N11" s="21">
        <v>1611</v>
      </c>
      <c r="O11" s="21">
        <v>1</v>
      </c>
      <c r="P11" s="58"/>
      <c r="Q11" s="21">
        <v>521</v>
      </c>
      <c r="R11" s="19">
        <v>39</v>
      </c>
      <c r="S11" s="21"/>
      <c r="T11" s="21"/>
      <c r="U11" s="97">
        <v>282</v>
      </c>
      <c r="V11" s="67">
        <v>5228.876472760001</v>
      </c>
      <c r="W11" s="67">
        <v>587.56015864000017</v>
      </c>
      <c r="X11" s="67">
        <v>2129.737215690001</v>
      </c>
      <c r="Y11" s="67">
        <v>1169.6378684900003</v>
      </c>
      <c r="Z11" s="67">
        <v>932.60088674999997</v>
      </c>
      <c r="AA11" s="67">
        <v>237.03698174000004</v>
      </c>
      <c r="AB11" s="21">
        <v>2730</v>
      </c>
      <c r="AC11" s="21">
        <v>1330</v>
      </c>
      <c r="AD11" s="21"/>
      <c r="AE11" s="21"/>
      <c r="AF11" s="21"/>
      <c r="AG11" s="21"/>
      <c r="AH11" s="21"/>
      <c r="AI11" s="21"/>
      <c r="AJ11" s="32" t="s">
        <v>99</v>
      </c>
    </row>
    <row r="12" spans="1:36" x14ac:dyDescent="0.25">
      <c r="A12" s="54">
        <v>2004</v>
      </c>
      <c r="B12" s="21">
        <v>11699</v>
      </c>
      <c r="C12" s="21">
        <v>1575</v>
      </c>
      <c r="D12" s="21">
        <v>1783</v>
      </c>
      <c r="E12" s="67">
        <v>3473.2018999999991</v>
      </c>
      <c r="F12" s="67">
        <v>4198.7495999999992</v>
      </c>
      <c r="G12" s="67">
        <v>6268.3023699999994</v>
      </c>
      <c r="H12" s="19">
        <v>1028</v>
      </c>
      <c r="I12" s="21">
        <v>1370</v>
      </c>
      <c r="J12" s="21">
        <v>2712</v>
      </c>
      <c r="K12" s="21"/>
      <c r="L12" s="21"/>
      <c r="M12" s="21">
        <v>115</v>
      </c>
      <c r="N12" s="21">
        <v>2225</v>
      </c>
      <c r="O12" s="21">
        <v>3</v>
      </c>
      <c r="P12" s="21">
        <v>492</v>
      </c>
      <c r="Q12" s="58"/>
      <c r="R12" s="19">
        <v>35</v>
      </c>
      <c r="S12" s="21"/>
      <c r="T12" s="21"/>
      <c r="U12" s="97">
        <v>276</v>
      </c>
      <c r="V12" s="67">
        <v>1809.2576585800002</v>
      </c>
      <c r="W12" s="67">
        <v>583.73404640000001</v>
      </c>
      <c r="X12" s="67">
        <v>751.69835234999994</v>
      </c>
      <c r="Y12" s="67">
        <v>290.30142853000001</v>
      </c>
      <c r="Z12" s="67">
        <v>242.84496725</v>
      </c>
      <c r="AA12" s="67">
        <v>47.456461279999999</v>
      </c>
      <c r="AB12" s="21">
        <v>1340</v>
      </c>
      <c r="AC12" s="21">
        <v>179</v>
      </c>
      <c r="AD12" s="21"/>
      <c r="AE12" s="21"/>
      <c r="AF12" s="21"/>
      <c r="AG12" s="21"/>
      <c r="AH12" s="21"/>
      <c r="AI12" s="21"/>
      <c r="AJ12" s="32" t="s">
        <v>98</v>
      </c>
    </row>
    <row r="13" spans="1:36" x14ac:dyDescent="0.25">
      <c r="A13" s="54">
        <v>2003</v>
      </c>
      <c r="B13" s="21">
        <v>11447</v>
      </c>
      <c r="C13" s="21">
        <v>1556</v>
      </c>
      <c r="D13" s="21">
        <v>2820</v>
      </c>
      <c r="E13" s="67">
        <v>3266.8510000000006</v>
      </c>
      <c r="F13" s="67">
        <v>3980.3045770799999</v>
      </c>
      <c r="G13" s="67">
        <v>6076.5534628799987</v>
      </c>
      <c r="H13" s="19">
        <v>992</v>
      </c>
      <c r="I13" s="21">
        <v>1338</v>
      </c>
      <c r="J13" s="21">
        <v>3034</v>
      </c>
      <c r="K13" s="21"/>
      <c r="L13" s="21"/>
      <c r="M13" s="21">
        <v>113</v>
      </c>
      <c r="N13" s="21">
        <v>2168</v>
      </c>
      <c r="O13" s="21">
        <v>4</v>
      </c>
      <c r="P13" s="21">
        <v>468</v>
      </c>
      <c r="Q13" s="58"/>
      <c r="R13" s="19">
        <v>29</v>
      </c>
      <c r="S13" s="21"/>
      <c r="T13" s="21"/>
      <c r="U13" s="97">
        <v>267</v>
      </c>
      <c r="V13" s="98"/>
      <c r="W13" s="98"/>
      <c r="X13" s="98"/>
      <c r="Y13" s="98"/>
      <c r="Z13" s="98"/>
      <c r="AA13" s="98"/>
      <c r="AB13" s="58"/>
      <c r="AC13" s="58"/>
      <c r="AD13" s="21"/>
      <c r="AE13" s="21"/>
      <c r="AF13" s="21"/>
      <c r="AG13" s="21"/>
      <c r="AH13" s="21"/>
      <c r="AI13" s="21"/>
      <c r="AJ13" s="32" t="s">
        <v>98</v>
      </c>
    </row>
    <row r="14" spans="1:36" x14ac:dyDescent="0.25">
      <c r="A14" s="54">
        <v>2002</v>
      </c>
      <c r="B14" s="21">
        <v>11258</v>
      </c>
      <c r="C14" s="21">
        <v>1555</v>
      </c>
      <c r="D14" s="21">
        <v>2819</v>
      </c>
      <c r="E14" s="67">
        <v>3228.2834527300001</v>
      </c>
      <c r="F14" s="67">
        <v>3972.4404725040508</v>
      </c>
      <c r="G14" s="67">
        <v>6172.275273081772</v>
      </c>
      <c r="H14" s="19">
        <v>955</v>
      </c>
      <c r="I14" s="21">
        <v>1353</v>
      </c>
      <c r="J14" s="21">
        <v>2996</v>
      </c>
      <c r="K14" s="21"/>
      <c r="L14" s="21"/>
      <c r="M14" s="21">
        <v>116</v>
      </c>
      <c r="N14" s="21">
        <v>2065</v>
      </c>
      <c r="O14" s="21">
        <v>3</v>
      </c>
      <c r="P14" s="21">
        <v>388</v>
      </c>
      <c r="Q14" s="58"/>
      <c r="R14" s="19">
        <v>18</v>
      </c>
      <c r="S14" s="21"/>
      <c r="T14" s="21"/>
      <c r="U14" s="97">
        <v>257</v>
      </c>
      <c r="V14" s="98"/>
      <c r="W14" s="98"/>
      <c r="X14" s="98"/>
      <c r="Y14" s="98"/>
      <c r="Z14" s="98"/>
      <c r="AA14" s="98"/>
      <c r="AB14" s="58"/>
      <c r="AC14" s="58"/>
      <c r="AD14" s="21"/>
      <c r="AE14" s="21"/>
      <c r="AF14" s="21"/>
      <c r="AG14" s="21"/>
      <c r="AH14" s="21"/>
      <c r="AI14" s="21"/>
      <c r="AJ14" s="32" t="s">
        <v>97</v>
      </c>
    </row>
    <row r="15" spans="1:36" x14ac:dyDescent="0.25">
      <c r="A15" s="54">
        <v>2001</v>
      </c>
      <c r="B15" s="21">
        <v>11097</v>
      </c>
      <c r="C15" s="21">
        <v>1565</v>
      </c>
      <c r="D15" s="21">
        <v>2799</v>
      </c>
      <c r="E15" s="67">
        <v>3042.6029450101146</v>
      </c>
      <c r="F15" s="67">
        <v>3735.7476861868372</v>
      </c>
      <c r="G15" s="67">
        <v>5966.2966243657011</v>
      </c>
      <c r="H15" s="19">
        <v>924</v>
      </c>
      <c r="I15" s="21">
        <v>1349</v>
      </c>
      <c r="J15" s="21">
        <v>2904</v>
      </c>
      <c r="K15" s="21"/>
      <c r="L15" s="21"/>
      <c r="M15" s="21">
        <v>129</v>
      </c>
      <c r="N15" s="21">
        <v>1871</v>
      </c>
      <c r="O15" s="21">
        <v>3</v>
      </c>
      <c r="P15" s="21">
        <v>350</v>
      </c>
      <c r="Q15" s="58"/>
      <c r="R15" s="19">
        <v>6</v>
      </c>
      <c r="S15" s="21"/>
      <c r="T15" s="21"/>
      <c r="U15" s="97">
        <v>206</v>
      </c>
      <c r="V15" s="98"/>
      <c r="W15" s="98"/>
      <c r="X15" s="98"/>
      <c r="Y15" s="98"/>
      <c r="Z15" s="98"/>
      <c r="AA15" s="98"/>
      <c r="AB15" s="58"/>
      <c r="AC15" s="58"/>
      <c r="AD15" s="21"/>
      <c r="AE15" s="21"/>
      <c r="AF15" s="21"/>
      <c r="AG15" s="21"/>
      <c r="AH15" s="21"/>
      <c r="AI15" s="21"/>
      <c r="AJ15" s="32" t="s">
        <v>97</v>
      </c>
    </row>
    <row r="16" spans="1:36" x14ac:dyDescent="0.25">
      <c r="A16" s="54">
        <v>2000</v>
      </c>
      <c r="B16" s="21">
        <v>10507</v>
      </c>
      <c r="C16" s="21">
        <v>1499</v>
      </c>
      <c r="D16" s="21">
        <v>2615</v>
      </c>
      <c r="E16" s="67">
        <v>2818.9986538751782</v>
      </c>
      <c r="F16" s="67">
        <v>3527.969921829213</v>
      </c>
      <c r="G16" s="67">
        <v>5985.0610919110513</v>
      </c>
      <c r="H16" s="19">
        <v>776</v>
      </c>
      <c r="I16" s="21">
        <v>1308</v>
      </c>
      <c r="J16" s="21">
        <v>2765</v>
      </c>
      <c r="K16" s="21"/>
      <c r="L16" s="21"/>
      <c r="M16" s="21">
        <v>158</v>
      </c>
      <c r="N16" s="21">
        <v>1679</v>
      </c>
      <c r="O16" s="21">
        <v>4</v>
      </c>
      <c r="P16" s="21">
        <v>315</v>
      </c>
      <c r="Q16" s="58"/>
      <c r="R16" s="38"/>
      <c r="S16" s="21">
        <v>20</v>
      </c>
      <c r="T16" s="21">
        <v>20</v>
      </c>
      <c r="U16" s="97"/>
      <c r="V16" s="98"/>
      <c r="W16" s="98"/>
      <c r="X16" s="98"/>
      <c r="Y16" s="98"/>
      <c r="Z16" s="98"/>
      <c r="AA16" s="98"/>
      <c r="AB16" s="58"/>
      <c r="AC16" s="58"/>
      <c r="AD16" s="21"/>
      <c r="AE16" s="21"/>
      <c r="AF16" s="21"/>
      <c r="AG16" s="21"/>
      <c r="AH16" s="21"/>
      <c r="AI16" s="21"/>
      <c r="AJ16" s="32" t="s">
        <v>96</v>
      </c>
    </row>
    <row r="17" spans="1:36" x14ac:dyDescent="0.25">
      <c r="A17" s="54">
        <v>1999</v>
      </c>
      <c r="B17" s="21">
        <v>10608</v>
      </c>
      <c r="C17" s="21">
        <v>1469</v>
      </c>
      <c r="D17" s="21">
        <v>2569</v>
      </c>
      <c r="E17" s="67">
        <v>2701.9779639519052</v>
      </c>
      <c r="F17" s="67">
        <v>3496.5465001402495</v>
      </c>
      <c r="G17" s="67">
        <v>6013.3949873591291</v>
      </c>
      <c r="H17" s="19">
        <v>757</v>
      </c>
      <c r="I17" s="21">
        <v>1321</v>
      </c>
      <c r="J17" s="21">
        <v>2744</v>
      </c>
      <c r="K17" s="21"/>
      <c r="L17" s="21"/>
      <c r="M17" s="21">
        <v>144</v>
      </c>
      <c r="N17" s="21">
        <v>1486</v>
      </c>
      <c r="O17" s="21">
        <v>4</v>
      </c>
      <c r="P17" s="21">
        <v>297</v>
      </c>
      <c r="Q17" s="58"/>
      <c r="R17" s="38"/>
      <c r="S17" s="21">
        <v>29</v>
      </c>
      <c r="T17" s="21">
        <v>29</v>
      </c>
      <c r="U17" s="97"/>
      <c r="V17" s="98"/>
      <c r="W17" s="98"/>
      <c r="X17" s="98"/>
      <c r="Y17" s="98"/>
      <c r="Z17" s="98"/>
      <c r="AA17" s="98"/>
      <c r="AB17" s="58"/>
      <c r="AC17" s="58"/>
      <c r="AD17" s="21"/>
      <c r="AE17" s="21"/>
      <c r="AF17" s="21"/>
      <c r="AG17" s="21"/>
      <c r="AH17" s="21"/>
      <c r="AI17" s="21"/>
      <c r="AJ17" s="32" t="s">
        <v>96</v>
      </c>
    </row>
    <row r="18" spans="1:36" x14ac:dyDescent="0.25">
      <c r="A18" s="54">
        <v>1998</v>
      </c>
      <c r="B18" s="21">
        <v>10115</v>
      </c>
      <c r="C18" s="21">
        <v>1475</v>
      </c>
      <c r="D18" s="21">
        <v>2562</v>
      </c>
      <c r="E18" s="67">
        <v>2581.2414091167561</v>
      </c>
      <c r="F18" s="67">
        <v>3349.8079962130755</v>
      </c>
      <c r="G18" s="67">
        <v>5931.3223075920632</v>
      </c>
      <c r="H18" s="19">
        <v>735</v>
      </c>
      <c r="I18" s="21">
        <v>1335</v>
      </c>
      <c r="J18" s="21">
        <v>2713</v>
      </c>
      <c r="K18" s="21"/>
      <c r="L18" s="21"/>
      <c r="M18" s="21">
        <v>249</v>
      </c>
      <c r="N18" s="21">
        <v>1342</v>
      </c>
      <c r="O18" s="21">
        <v>3</v>
      </c>
      <c r="P18" s="21">
        <v>286</v>
      </c>
      <c r="Q18" s="58"/>
      <c r="R18" s="38"/>
      <c r="S18" s="21">
        <v>30</v>
      </c>
      <c r="T18" s="21">
        <v>29</v>
      </c>
      <c r="U18" s="97"/>
      <c r="V18" s="98"/>
      <c r="W18" s="98"/>
      <c r="X18" s="98"/>
      <c r="Y18" s="98"/>
      <c r="Z18" s="98"/>
      <c r="AA18" s="98"/>
      <c r="AB18" s="58"/>
      <c r="AC18" s="58"/>
      <c r="AD18" s="21"/>
      <c r="AE18" s="21"/>
      <c r="AF18" s="21"/>
      <c r="AG18" s="21"/>
      <c r="AH18" s="21"/>
      <c r="AI18" s="21"/>
      <c r="AJ18" s="32" t="s">
        <v>96</v>
      </c>
    </row>
    <row r="19" spans="1:36" ht="15.75" thickBot="1" x14ac:dyDescent="0.3">
      <c r="A19" s="55">
        <v>1997</v>
      </c>
      <c r="B19" s="24">
        <f>69823/6.55957</f>
        <v>10644.447730567705</v>
      </c>
      <c r="C19" s="24">
        <f>9550/6.55957</f>
        <v>1455.8881146172691</v>
      </c>
      <c r="D19" s="24">
        <f>16655/6.55957</f>
        <v>2539.0383820890697</v>
      </c>
      <c r="E19" s="100">
        <v>2476.1332341906555</v>
      </c>
      <c r="F19" s="100">
        <v>3243.3511138737349</v>
      </c>
      <c r="G19" s="100">
        <v>5787.8589421376582</v>
      </c>
      <c r="H19" s="101">
        <f>4709/6.55957</f>
        <v>717.88242217096547</v>
      </c>
      <c r="I19" s="24">
        <f>8627/6.55957</f>
        <v>1315.1776717071393</v>
      </c>
      <c r="J19" s="24">
        <f>16681/6.55957</f>
        <v>2543.0020565372424</v>
      </c>
      <c r="K19" s="24">
        <f>182/6.55957</f>
        <v>27.74572113720869</v>
      </c>
      <c r="L19" s="24">
        <f>737/6.55957</f>
        <v>112.35492570397145</v>
      </c>
      <c r="M19" s="24">
        <f>1890/6.55957</f>
        <v>288.12864257870564</v>
      </c>
      <c r="N19" s="24">
        <f>7790/6.55957</f>
        <v>1187.5778442794269</v>
      </c>
      <c r="O19" s="24">
        <f>26/6.55957</f>
        <v>3.9636744481726698</v>
      </c>
      <c r="P19" s="24">
        <f>1799/6.55957</f>
        <v>274.25578201010126</v>
      </c>
      <c r="Q19" s="61"/>
      <c r="R19" s="46"/>
      <c r="S19" s="24"/>
      <c r="T19" s="24"/>
      <c r="U19" s="103"/>
      <c r="V19" s="104"/>
      <c r="W19" s="104"/>
      <c r="X19" s="104"/>
      <c r="Y19" s="104"/>
      <c r="Z19" s="104"/>
      <c r="AA19" s="104"/>
      <c r="AB19" s="61"/>
      <c r="AC19" s="61"/>
      <c r="AD19" s="24"/>
      <c r="AE19" s="24"/>
      <c r="AF19" s="24"/>
      <c r="AG19" s="24"/>
      <c r="AH19" s="24"/>
      <c r="AI19" s="24"/>
      <c r="AJ19" s="33" t="s">
        <v>95</v>
      </c>
    </row>
    <row r="21" spans="1:36" x14ac:dyDescent="0.25">
      <c r="B21" t="s">
        <v>55</v>
      </c>
    </row>
    <row r="23" spans="1:36" x14ac:dyDescent="0.25">
      <c r="B23" t="s">
        <v>59</v>
      </c>
    </row>
    <row r="25" spans="1:36" x14ac:dyDescent="0.25">
      <c r="B25" s="1"/>
      <c r="C25" t="s">
        <v>27</v>
      </c>
    </row>
    <row r="26" spans="1:36" x14ac:dyDescent="0.25">
      <c r="B26" s="16"/>
      <c r="C26" t="s">
        <v>40</v>
      </c>
    </row>
    <row r="27" spans="1:36" x14ac:dyDescent="0.25">
      <c r="B27" s="28"/>
      <c r="C27" t="s">
        <v>41</v>
      </c>
    </row>
    <row r="28" spans="1:36" x14ac:dyDescent="0.25">
      <c r="B28" s="29"/>
      <c r="C28" t="s">
        <v>54</v>
      </c>
    </row>
    <row r="30" spans="1:36" x14ac:dyDescent="0.25">
      <c r="B30" t="s">
        <v>145</v>
      </c>
    </row>
    <row r="31" spans="1:36" x14ac:dyDescent="0.25">
      <c r="B31" t="s">
        <v>149</v>
      </c>
    </row>
    <row r="33" spans="2:3" x14ac:dyDescent="0.25">
      <c r="B33" s="15"/>
      <c r="C33" t="s">
        <v>150</v>
      </c>
    </row>
  </sheetData>
  <sortState ref="A4:AJ19">
    <sortCondition descending="1" ref="A4"/>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pane xSplit="1" ySplit="3" topLeftCell="B4" activePane="bottomRight" state="frozen"/>
      <selection pane="topRight" activeCell="B1" sqref="B1"/>
      <selection pane="bottomLeft" activeCell="A3" sqref="A3"/>
      <selection pane="bottomRight" activeCell="H4" sqref="H4"/>
    </sheetView>
  </sheetViews>
  <sheetFormatPr baseColWidth="10" defaultRowHeight="15" x14ac:dyDescent="0.25"/>
  <cols>
    <col min="1" max="1" width="19.5703125" customWidth="1"/>
    <col min="2" max="2" width="28.42578125" customWidth="1"/>
    <col min="3" max="5" width="35.7109375" customWidth="1"/>
    <col min="6" max="6" width="28.42578125" customWidth="1"/>
    <col min="7" max="8" width="36.140625" customWidth="1"/>
    <col min="9" max="9" width="217.140625" customWidth="1"/>
  </cols>
  <sheetData>
    <row r="1" spans="1:9" ht="15.75" thickBot="1" x14ac:dyDescent="0.3">
      <c r="A1" t="s">
        <v>139</v>
      </c>
      <c r="B1" t="s">
        <v>164</v>
      </c>
      <c r="C1" t="s">
        <v>165</v>
      </c>
      <c r="D1" t="s">
        <v>166</v>
      </c>
      <c r="E1" t="s">
        <v>190</v>
      </c>
      <c r="F1" t="s">
        <v>167</v>
      </c>
      <c r="G1" t="s">
        <v>168</v>
      </c>
      <c r="H1" t="s">
        <v>169</v>
      </c>
      <c r="I1" t="s">
        <v>192</v>
      </c>
    </row>
    <row r="2" spans="1:9" ht="18.75" x14ac:dyDescent="0.25">
      <c r="A2" s="40"/>
      <c r="B2" s="90" t="s">
        <v>57</v>
      </c>
      <c r="C2" s="91"/>
      <c r="D2" s="91"/>
      <c r="E2" s="91"/>
      <c r="F2" s="91"/>
      <c r="G2" s="91"/>
      <c r="H2" s="91"/>
      <c r="I2" s="92"/>
    </row>
    <row r="3" spans="1:9" ht="33" customHeight="1" x14ac:dyDescent="0.25">
      <c r="A3" s="30" t="s">
        <v>26</v>
      </c>
      <c r="B3" s="52" t="s">
        <v>32</v>
      </c>
      <c r="C3" s="52" t="s">
        <v>94</v>
      </c>
      <c r="D3" s="52" t="s">
        <v>93</v>
      </c>
      <c r="E3" s="52" t="s">
        <v>188</v>
      </c>
      <c r="F3" s="52" t="s">
        <v>187</v>
      </c>
      <c r="G3" s="52" t="s">
        <v>38</v>
      </c>
      <c r="H3" s="89" t="s">
        <v>85</v>
      </c>
      <c r="I3" s="41" t="s">
        <v>0</v>
      </c>
    </row>
    <row r="4" spans="1:9" x14ac:dyDescent="0.25">
      <c r="A4" s="42">
        <v>2012</v>
      </c>
      <c r="B4" s="57"/>
      <c r="C4" s="105"/>
      <c r="D4" s="109">
        <f>D5*('Dépenses PF'!B4+'Dépenses PF'!C4+'Dépenses PF'!H4+'Dépenses PF'!I4+'Dépenses PF'!AB4+'Dépenses PF'!AC4+'Dépenses PF'!AF4+'Dépenses PF'!AH4+'Dépenses PF'!AI4)/('Dépenses PF'!B5+'Dépenses PF'!C5+'Dépenses PF'!H5+'Dépenses PF'!I5+'Dépenses PF'!AB5+'Dépenses PF'!AC5+'Dépenses PF'!AF5+'Dépenses PF'!AH5+'Dépenses PF'!AI5)</f>
        <v>8648.6811287751589</v>
      </c>
      <c r="E4" s="113">
        <f>E5*('Dépenses PF'!B4+'Dépenses PF'!C4+'Dépenses PF'!H4+'Dépenses PF'!I4+'Dépenses PF'!AB4+'Dépenses PF'!AC4+'Dépenses PF'!AF4+'Dépenses PF'!AH4+'Dépenses PF'!AI4)/('Dépenses PF'!B5+'Dépenses PF'!C5+'Dépenses PF'!H5+'Dépenses PF'!I5+'Dépenses PF'!AB5+'Dépenses PF'!AC5+'Dépenses PF'!AF5+'Dépenses PF'!AH5+'Dépenses PF'!AI5)</f>
        <v>7258.0170452408101</v>
      </c>
      <c r="F4" s="76">
        <f>F5*('Dépenses PF'!B4+'Dépenses PF'!C4+'Dépenses PF'!H4+'Dépenses PF'!I4+'Dépenses PF'!AB4+'Dépenses PF'!AC4+'Dépenses PF'!AF4+'Dépenses PF'!AH4+'Dépenses PF'!AI4)/('Dépenses PF'!B5+'Dépenses PF'!C5+'Dépenses PF'!H5+'Dépenses PF'!I5+'Dépenses PF'!AB5+'Dépenses PF'!AC5+'Dépenses PF'!AF5+'Dépenses PF'!AH5+'Dépenses PF'!AI5)</f>
        <v>1388.7854302635667</v>
      </c>
      <c r="G4" s="77">
        <f>G5*('Dépenses PF'!B4+'Dépenses PF'!C4+'Dépenses PF'!H4+'Dépenses PF'!I4+'Dépenses PF'!AB4+'Dépenses PF'!AC4+'Dépenses PF'!AF4+'Dépenses PF'!AH4+'Dépenses PF'!AI4)/('Dépenses PF'!B5+'Dépenses PF'!C5+'Dépenses PF'!H5+'Dépenses PF'!I5+'Dépenses PF'!AB5+'Dépenses PF'!AC5+'Dépenses PF'!AF5+'Dépenses PF'!AH5+'Dépenses PF'!AI5)</f>
        <v>6729.289164986948</v>
      </c>
      <c r="H4" s="114">
        <f>H5*('Dépenses PF'!B4+'Dépenses PF'!C4+'Dépenses PF'!H4+'Dépenses PF'!I4+'Dépenses PF'!AB4+'Dépenses PF'!AC4+'Dépenses PF'!AF4+'Dépenses PF'!AH4+'Dépenses PF'!AI4)/('Dépenses PF'!B5+'Dépenses PF'!C5+'Dépenses PF'!H5+'Dépenses PF'!I5+'Dépenses PF'!AB5+'Dépenses PF'!AC5+'Dépenses PF'!AF5+'Dépenses PF'!AH5+'Dépenses PF'!AI5)</f>
        <v>7548.5242696031446</v>
      </c>
      <c r="I4" s="43" t="s">
        <v>103</v>
      </c>
    </row>
    <row r="5" spans="1:9" x14ac:dyDescent="0.25">
      <c r="A5" s="42">
        <v>2011</v>
      </c>
      <c r="B5" s="38"/>
      <c r="C5" s="105"/>
      <c r="D5" s="109">
        <f>D6*('Dépenses PF'!B5+'Dépenses PF'!C5+'Dépenses PF'!H5+'Dépenses PF'!I5+'Dépenses PF'!AB5+'Dépenses PF'!AC5+'Dépenses PF'!AF5+'Dépenses PF'!AH5+'Dépenses PF'!AI5)/('Dépenses PF'!B6+'Dépenses PF'!C6+'Dépenses PF'!H6+'Dépenses PF'!I6+'Dépenses PF'!AB6+'Dépenses PF'!AC6+'Dépenses PF'!AF6+'Dépenses PF'!AH6+'Dépenses PF'!AI6)</f>
        <v>8408.3259225248948</v>
      </c>
      <c r="E5" s="113">
        <f>E6*('Dépenses PF'!B5+'Dépenses PF'!C5+'Dépenses PF'!H5+'Dépenses PF'!I5+'Dépenses PF'!AB5+'Dépenses PF'!AC5+'Dépenses PF'!AF5+'Dépenses PF'!AH5+'Dépenses PF'!AI5)/('Dépenses PF'!B6+'Dépenses PF'!C6+'Dépenses PF'!H6+'Dépenses PF'!I6+'Dépenses PF'!AB6+'Dépenses PF'!AC6+'Dépenses PF'!AF6+'Dépenses PF'!AH6+'Dépenses PF'!AI6)</f>
        <v>7056.3097377448003</v>
      </c>
      <c r="F5" s="76">
        <f>F6*('Dépenses PF'!B5+'Dépenses PF'!C5+'Dépenses PF'!H5+'Dépenses PF'!I5+'Dépenses PF'!AB5+'Dépenses PF'!AC5+'Dépenses PF'!AF5+'Dépenses PF'!AH5+'Dépenses PF'!AI5)/('Dépenses PF'!B6+'Dépenses PF'!C6+'Dépenses PF'!H6+'Dépenses PF'!I6+'Dépenses PF'!AB6+'Dépenses PF'!AC6+'Dépenses PF'!AF6+'Dépenses PF'!AH6+'Dépenses PF'!AI6)</f>
        <v>1350.1897410991501</v>
      </c>
      <c r="G5" s="77">
        <f>G6*('Dépenses PF'!B5+'Dépenses PF'!C5+'Dépenses PF'!H5+'Dépenses PF'!I5+'Dépenses PF'!AB5+'Dépenses PF'!AC5+'Dépenses PF'!AF5+'Dépenses PF'!AH5+'Dépenses PF'!AI5)/('Dépenses PF'!B6+'Dépenses PF'!C6+'Dépenses PF'!H6+'Dépenses PF'!I6+'Dépenses PF'!AB6+'Dépenses PF'!AC6+'Dépenses PF'!AF6+'Dépenses PF'!AH6+'Dépenses PF'!AI6)</f>
        <v>6542.2757162211283</v>
      </c>
      <c r="H5" s="114">
        <f>H6*('Dépenses PF'!B5+'Dépenses PF'!C5+'Dépenses PF'!H5+'Dépenses PF'!I5+'Dépenses PF'!AB5+'Dépenses PF'!AC5+'Dépenses PF'!AF5+'Dépenses PF'!AH5+'Dépenses PF'!AI5)/('Dépenses PF'!B6+'Dépenses PF'!C6+'Dépenses PF'!H6+'Dépenses PF'!I6+'Dépenses PF'!AB6+'Dépenses PF'!AC6+'Dépenses PF'!AF6+'Dépenses PF'!AH6+'Dépenses PF'!AI6)</f>
        <v>7338.7434856094897</v>
      </c>
      <c r="I5" s="44" t="s">
        <v>103</v>
      </c>
    </row>
    <row r="6" spans="1:9" x14ac:dyDescent="0.25">
      <c r="A6" s="42">
        <v>2010</v>
      </c>
      <c r="B6" s="37">
        <v>147</v>
      </c>
      <c r="C6" s="108">
        <v>694.30662882000001</v>
      </c>
      <c r="D6" s="108">
        <v>8284.5895293299982</v>
      </c>
      <c r="E6" s="108">
        <f>D6-1332.12</f>
        <v>6952.4695293299983</v>
      </c>
      <c r="F6" s="72">
        <v>1330.3204341489036</v>
      </c>
      <c r="G6" s="19">
        <v>6446</v>
      </c>
      <c r="H6" s="75">
        <f>4299.312+2931.435</f>
        <v>7230.7469999999994</v>
      </c>
      <c r="I6" s="44" t="s">
        <v>116</v>
      </c>
    </row>
    <row r="7" spans="1:9" x14ac:dyDescent="0.25">
      <c r="A7" s="42">
        <v>2009</v>
      </c>
      <c r="B7" s="19">
        <v>544</v>
      </c>
      <c r="C7" s="108">
        <v>2688.6019111599999</v>
      </c>
      <c r="D7" s="108">
        <v>5394.6352605200009</v>
      </c>
      <c r="E7" s="108">
        <f>D7-615.35</f>
        <v>4779.2852605200005</v>
      </c>
      <c r="F7" s="72">
        <v>615.35190969667815</v>
      </c>
      <c r="G7" s="19">
        <v>5965</v>
      </c>
      <c r="H7" s="75">
        <f>4184.927+2821.419-0.843</f>
        <v>7005.5029999999997</v>
      </c>
      <c r="I7" s="44" t="s">
        <v>115</v>
      </c>
    </row>
    <row r="8" spans="1:9" x14ac:dyDescent="0.25">
      <c r="A8" s="42">
        <v>2008</v>
      </c>
      <c r="B8" s="19">
        <v>1024</v>
      </c>
      <c r="C8" s="108">
        <v>5379.0310969499997</v>
      </c>
      <c r="D8" s="112"/>
      <c r="E8" s="112"/>
      <c r="F8" s="69"/>
      <c r="G8" s="19">
        <v>5773</v>
      </c>
      <c r="H8" s="75">
        <f>2782.19+4044.52-0.863</f>
        <v>6825.8469999999998</v>
      </c>
      <c r="I8" s="44" t="s">
        <v>114</v>
      </c>
    </row>
    <row r="9" spans="1:9" x14ac:dyDescent="0.25">
      <c r="A9" s="42">
        <v>2007</v>
      </c>
      <c r="B9" s="19">
        <v>1075</v>
      </c>
      <c r="C9" s="108">
        <v>5608.9310182400004</v>
      </c>
      <c r="D9" s="112"/>
      <c r="E9" s="112"/>
      <c r="F9" s="69"/>
      <c r="G9" s="19">
        <v>5505</v>
      </c>
      <c r="H9" s="75">
        <f>3889.747+2717.79-0.577-25.242-0.072</f>
        <v>6581.6459999999997</v>
      </c>
      <c r="I9" s="44" t="s">
        <v>113</v>
      </c>
    </row>
    <row r="10" spans="1:9" x14ac:dyDescent="0.25">
      <c r="A10" s="42">
        <v>2006</v>
      </c>
      <c r="B10" s="19">
        <v>1064</v>
      </c>
      <c r="C10" s="108">
        <v>5783.4394617800008</v>
      </c>
      <c r="D10" s="112"/>
      <c r="E10" s="112"/>
      <c r="F10" s="69"/>
      <c r="G10" s="19">
        <v>5230</v>
      </c>
      <c r="H10" s="75">
        <f>3715.169+2725.811-26.472-14.004-0.105</f>
        <v>6400.3990000000003</v>
      </c>
      <c r="I10" s="44" t="s">
        <v>112</v>
      </c>
    </row>
    <row r="11" spans="1:9" x14ac:dyDescent="0.25">
      <c r="A11" s="42">
        <v>2005</v>
      </c>
      <c r="B11" s="19">
        <v>972</v>
      </c>
      <c r="C11" s="72">
        <v>5648.8207097590002</v>
      </c>
      <c r="D11" s="71"/>
      <c r="E11" s="71"/>
      <c r="F11" s="69"/>
      <c r="G11" s="19">
        <v>5032</v>
      </c>
      <c r="H11" s="75">
        <f>3551.925+2648.983-26.141-12.277-0.138</f>
        <v>6162.3520000000008</v>
      </c>
      <c r="I11" s="44" t="s">
        <v>112</v>
      </c>
    </row>
    <row r="12" spans="1:9" x14ac:dyDescent="0.25">
      <c r="A12" s="42">
        <v>2004</v>
      </c>
      <c r="B12" s="19">
        <v>900</v>
      </c>
      <c r="C12" s="72">
        <v>5296.6219939999992</v>
      </c>
      <c r="D12" s="71"/>
      <c r="E12" s="71"/>
      <c r="F12" s="69"/>
      <c r="G12" s="19">
        <v>4812</v>
      </c>
      <c r="H12" s="75">
        <f>2583.752+3349.076-25.708-13.156-0.265</f>
        <v>5893.6989999999996</v>
      </c>
      <c r="I12" s="44" t="s">
        <v>111</v>
      </c>
    </row>
    <row r="13" spans="1:9" x14ac:dyDescent="0.25">
      <c r="A13" s="42">
        <v>2003</v>
      </c>
      <c r="B13" s="19">
        <v>833</v>
      </c>
      <c r="C13" s="107">
        <v>5020.943274270001</v>
      </c>
      <c r="D13" s="111"/>
      <c r="E13" s="111"/>
      <c r="F13" s="69"/>
      <c r="G13" s="19">
        <v>4577</v>
      </c>
      <c r="H13" s="75">
        <f>2548.437+3199.848-38.523-0.362</f>
        <v>5709.4</v>
      </c>
      <c r="I13" s="44" t="s">
        <v>110</v>
      </c>
    </row>
    <row r="14" spans="1:9" x14ac:dyDescent="0.25">
      <c r="A14" s="42">
        <v>2002</v>
      </c>
      <c r="B14" s="19">
        <v>796</v>
      </c>
      <c r="C14" s="107">
        <v>4826.1190050000005</v>
      </c>
      <c r="D14" s="111"/>
      <c r="E14" s="111"/>
      <c r="F14" s="69"/>
      <c r="G14" s="19">
        <v>4430</v>
      </c>
      <c r="H14" s="75">
        <f>2516.337+3117.865-26.214-0.501</f>
        <v>5607.4869999999992</v>
      </c>
      <c r="I14" s="44" t="s">
        <v>109</v>
      </c>
    </row>
    <row r="15" spans="1:9" x14ac:dyDescent="0.25">
      <c r="A15" s="42">
        <v>2001</v>
      </c>
      <c r="B15" s="19">
        <v>754</v>
      </c>
      <c r="C15" s="107">
        <v>4556.6768660140842</v>
      </c>
      <c r="D15" s="111"/>
      <c r="E15" s="111"/>
      <c r="F15" s="69"/>
      <c r="G15" s="19">
        <v>4238</v>
      </c>
      <c r="H15" s="75">
        <f>2528.399+2994.792-27.22-0.68</f>
        <v>5495.2909999999993</v>
      </c>
      <c r="I15" s="44" t="s">
        <v>109</v>
      </c>
    </row>
    <row r="16" spans="1:9" x14ac:dyDescent="0.25">
      <c r="A16" s="42">
        <v>2000</v>
      </c>
      <c r="B16" s="19">
        <v>698</v>
      </c>
      <c r="C16" s="107">
        <v>4567.4000625040971</v>
      </c>
      <c r="D16" s="111"/>
      <c r="E16" s="111"/>
      <c r="F16" s="69"/>
      <c r="G16" s="19">
        <v>3868</v>
      </c>
      <c r="H16" s="75">
        <f>2497.13+2877.551-27.852-0.915</f>
        <v>5345.9140000000007</v>
      </c>
      <c r="I16" s="44" t="s">
        <v>108</v>
      </c>
    </row>
    <row r="17" spans="1:9" x14ac:dyDescent="0.25">
      <c r="A17" s="42">
        <v>1999</v>
      </c>
      <c r="B17" s="19">
        <v>679</v>
      </c>
      <c r="C17" s="107">
        <v>4578.7076437937239</v>
      </c>
      <c r="D17" s="111"/>
      <c r="E17" s="111"/>
      <c r="F17" s="69"/>
      <c r="G17" s="19">
        <v>3714</v>
      </c>
      <c r="H17" s="75">
        <f>(17057.7+1705.6+20013.8-208.7-8.5)/6.55957</f>
        <v>5878.4188597728207</v>
      </c>
      <c r="I17" s="44" t="s">
        <v>107</v>
      </c>
    </row>
    <row r="18" spans="1:9" x14ac:dyDescent="0.25">
      <c r="A18" s="42">
        <v>1998</v>
      </c>
      <c r="B18" s="19">
        <v>674</v>
      </c>
      <c r="C18" s="107">
        <v>4154.5894142451407</v>
      </c>
      <c r="D18" s="111"/>
      <c r="E18" s="111"/>
      <c r="F18" s="69"/>
      <c r="G18" s="19">
        <v>3519</v>
      </c>
      <c r="H18" s="19">
        <f>(15770+1746.6+17659.7-196.5-11.6)/6.55957</f>
        <v>5330.8677245612143</v>
      </c>
      <c r="I18" s="44" t="s">
        <v>106</v>
      </c>
    </row>
    <row r="19" spans="1:9" ht="15.75" thickBot="1" x14ac:dyDescent="0.3">
      <c r="A19" s="45">
        <v>1997</v>
      </c>
      <c r="B19" s="101">
        <f>4411/6.55957</f>
        <v>672.45261503421716</v>
      </c>
      <c r="C19" s="106">
        <v>3705.3496762745121</v>
      </c>
      <c r="D19" s="110"/>
      <c r="E19" s="110"/>
      <c r="F19" s="70"/>
      <c r="G19" s="101">
        <f>21912/6.55957</f>
        <v>3340.4628657061362</v>
      </c>
      <c r="H19" s="101">
        <f>(16439.1+1841.4+17054.5-212.6-16.5)/6.55957</f>
        <v>5351.8599542348056</v>
      </c>
      <c r="I19" s="47" t="s">
        <v>105</v>
      </c>
    </row>
    <row r="22" spans="1:9" x14ac:dyDescent="0.25">
      <c r="B22" t="s">
        <v>55</v>
      </c>
    </row>
    <row r="24" spans="1:9" x14ac:dyDescent="0.25">
      <c r="B24" s="28"/>
      <c r="C24" t="s">
        <v>41</v>
      </c>
      <c r="D24" s="73"/>
      <c r="E24" s="73"/>
      <c r="F24" s="73"/>
    </row>
    <row r="25" spans="1:9" x14ac:dyDescent="0.25">
      <c r="B25" s="78"/>
      <c r="C25" t="s">
        <v>54</v>
      </c>
      <c r="D25" s="74"/>
      <c r="E25" s="74"/>
      <c r="F25" s="74"/>
    </row>
    <row r="26" spans="1:9" x14ac:dyDescent="0.25">
      <c r="B26" t="s">
        <v>104</v>
      </c>
    </row>
    <row r="27" spans="1:9" x14ac:dyDescent="0.25">
      <c r="B27" t="s">
        <v>189</v>
      </c>
    </row>
  </sheetData>
  <sortState ref="A4:I19">
    <sortCondition descending="1" ref="A4"/>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pane xSplit="1" ySplit="2" topLeftCell="B3" activePane="bottomRight" state="frozen"/>
      <selection pane="topRight" activeCell="C1" sqref="C1"/>
      <selection pane="bottomLeft" activeCell="A3" sqref="A3"/>
      <selection pane="bottomRight" activeCell="D30" sqref="D30"/>
    </sheetView>
  </sheetViews>
  <sheetFormatPr baseColWidth="10" defaultRowHeight="15" x14ac:dyDescent="0.25"/>
  <cols>
    <col min="2" max="2" width="25.28515625" customWidth="1"/>
    <col min="3" max="5" width="41.85546875" customWidth="1"/>
    <col min="6" max="6" width="109.85546875" customWidth="1"/>
    <col min="7" max="7" width="19.85546875" customWidth="1"/>
  </cols>
  <sheetData>
    <row r="1" spans="1:6" ht="29.25" customHeight="1" x14ac:dyDescent="0.25">
      <c r="A1" s="35"/>
      <c r="B1" s="133" t="s">
        <v>16</v>
      </c>
      <c r="C1" s="134"/>
      <c r="D1" s="134"/>
      <c r="E1" s="134"/>
      <c r="F1" s="134"/>
    </row>
    <row r="2" spans="1:6" ht="30" x14ac:dyDescent="0.25">
      <c r="A2" s="36" t="s">
        <v>26</v>
      </c>
      <c r="B2" s="34" t="s">
        <v>17</v>
      </c>
      <c r="C2" s="17" t="s">
        <v>18</v>
      </c>
      <c r="D2" s="17" t="s">
        <v>19</v>
      </c>
      <c r="E2" s="18" t="s">
        <v>20</v>
      </c>
      <c r="F2" s="18" t="s">
        <v>2</v>
      </c>
    </row>
    <row r="3" spans="1:6" x14ac:dyDescent="0.25">
      <c r="A3" s="115">
        <v>2012</v>
      </c>
      <c r="B3" s="27">
        <f>B4*(C3+D3)/(C4+D4)</f>
        <v>6576.4628286954303</v>
      </c>
      <c r="C3" s="23">
        <v>2720.3</v>
      </c>
      <c r="D3" s="23">
        <v>3117</v>
      </c>
      <c r="E3" s="97">
        <f t="shared" ref="E3:E18" si="0">SUM(B3:D3)</f>
        <v>12413.762828695431</v>
      </c>
      <c r="F3" s="32" t="s">
        <v>8</v>
      </c>
    </row>
    <row r="4" spans="1:6" x14ac:dyDescent="0.25">
      <c r="A4" s="115">
        <v>2011</v>
      </c>
      <c r="B4" s="27">
        <f>B5*(C4+D4)/(C5+D5)</f>
        <v>6347.5321164156248</v>
      </c>
      <c r="C4" s="23">
        <v>2602.1</v>
      </c>
      <c r="D4" s="23">
        <v>3032</v>
      </c>
      <c r="E4" s="97">
        <f t="shared" si="0"/>
        <v>11981.632116415625</v>
      </c>
      <c r="F4" s="32" t="s">
        <v>8</v>
      </c>
    </row>
    <row r="5" spans="1:6" x14ac:dyDescent="0.25">
      <c r="A5" s="115">
        <v>2010</v>
      </c>
      <c r="B5" s="117">
        <f>8679-C5</f>
        <v>6178.2</v>
      </c>
      <c r="C5" s="97">
        <v>2500.8000000000002</v>
      </c>
      <c r="D5" s="97">
        <v>2983</v>
      </c>
      <c r="E5" s="97">
        <f t="shared" si="0"/>
        <v>11662</v>
      </c>
      <c r="F5" s="32" t="s">
        <v>8</v>
      </c>
    </row>
    <row r="6" spans="1:6" x14ac:dyDescent="0.25">
      <c r="A6" s="115">
        <v>2009</v>
      </c>
      <c r="B6" s="117">
        <v>5957</v>
      </c>
      <c r="C6" s="97">
        <v>2380</v>
      </c>
      <c r="D6" s="97">
        <v>2857</v>
      </c>
      <c r="E6" s="97">
        <f t="shared" si="0"/>
        <v>11194</v>
      </c>
      <c r="F6" s="32" t="s">
        <v>9</v>
      </c>
    </row>
    <row r="7" spans="1:6" x14ac:dyDescent="0.25">
      <c r="A7" s="115">
        <v>2008</v>
      </c>
      <c r="B7" s="117">
        <v>5693</v>
      </c>
      <c r="C7" s="97">
        <v>2255</v>
      </c>
      <c r="D7" s="97">
        <v>2790</v>
      </c>
      <c r="E7" s="97">
        <f t="shared" si="0"/>
        <v>10738</v>
      </c>
      <c r="F7" s="32" t="s">
        <v>10</v>
      </c>
    </row>
    <row r="8" spans="1:6" x14ac:dyDescent="0.25">
      <c r="A8" s="115">
        <v>2007</v>
      </c>
      <c r="B8" s="117">
        <v>5382</v>
      </c>
      <c r="C8" s="97">
        <v>2120</v>
      </c>
      <c r="D8" s="97">
        <v>2651</v>
      </c>
      <c r="E8" s="97">
        <f t="shared" si="0"/>
        <v>10153</v>
      </c>
      <c r="F8" s="32" t="s">
        <v>11</v>
      </c>
    </row>
    <row r="9" spans="1:6" x14ac:dyDescent="0.25">
      <c r="A9" s="115">
        <v>2006</v>
      </c>
      <c r="B9" s="117">
        <v>5228</v>
      </c>
      <c r="C9" s="97">
        <v>1997</v>
      </c>
      <c r="D9" s="97">
        <v>2609</v>
      </c>
      <c r="E9" s="97">
        <f t="shared" si="0"/>
        <v>9834</v>
      </c>
      <c r="F9" s="32" t="s">
        <v>7</v>
      </c>
    </row>
    <row r="10" spans="1:6" x14ac:dyDescent="0.25">
      <c r="A10" s="115">
        <v>2005</v>
      </c>
      <c r="B10" s="26">
        <f>B9/0.98</f>
        <v>5334.6938775510207</v>
      </c>
      <c r="C10" s="22">
        <f>C9/1.029</f>
        <v>1940.7191448007777</v>
      </c>
      <c r="D10" s="97">
        <v>2516.1</v>
      </c>
      <c r="E10" s="97">
        <f t="shared" si="0"/>
        <v>9791.513022351799</v>
      </c>
      <c r="F10" s="32" t="s">
        <v>6</v>
      </c>
    </row>
    <row r="11" spans="1:6" x14ac:dyDescent="0.25">
      <c r="A11" s="115">
        <v>2004</v>
      </c>
      <c r="B11" s="117">
        <v>5400</v>
      </c>
      <c r="C11" s="20">
        <f>C12*(B11+D11)/(B12+D12)</f>
        <v>2182.8637167677775</v>
      </c>
      <c r="D11" s="97">
        <v>2450.8000000000002</v>
      </c>
      <c r="E11" s="97">
        <f t="shared" si="0"/>
        <v>10033.663716767776</v>
      </c>
      <c r="F11" s="32" t="s">
        <v>5</v>
      </c>
    </row>
    <row r="12" spans="1:6" x14ac:dyDescent="0.25">
      <c r="A12" s="115">
        <v>2003</v>
      </c>
      <c r="B12" s="117">
        <f>3061+2230</f>
        <v>5291</v>
      </c>
      <c r="C12" s="97">
        <f>7413-B12</f>
        <v>2122</v>
      </c>
      <c r="D12" s="97">
        <v>2340.9</v>
      </c>
      <c r="E12" s="97">
        <f t="shared" si="0"/>
        <v>9753.9</v>
      </c>
      <c r="F12" s="32" t="s">
        <v>21</v>
      </c>
    </row>
    <row r="13" spans="1:6" x14ac:dyDescent="0.25">
      <c r="A13" s="115">
        <v>2002</v>
      </c>
      <c r="B13" s="26">
        <f>3061/1.032+2230/1.114</f>
        <v>4967.880603454274</v>
      </c>
      <c r="C13" s="22">
        <f>7413/1.067-B13</f>
        <v>1979.6357976703748</v>
      </c>
      <c r="D13" s="97">
        <v>2264</v>
      </c>
      <c r="E13" s="97">
        <f t="shared" si="0"/>
        <v>9211.5164011246488</v>
      </c>
      <c r="F13" s="32" t="s">
        <v>13</v>
      </c>
    </row>
    <row r="14" spans="1:6" x14ac:dyDescent="0.25">
      <c r="A14" s="115">
        <v>2001</v>
      </c>
      <c r="B14" s="26">
        <f>(3061/1.032)/1.053+(2230/1.114)/1.194</f>
        <v>4493.3406337585084</v>
      </c>
      <c r="C14" s="22">
        <f>(7413/1.067)/1.109-B14</f>
        <v>1771.3269957497414</v>
      </c>
      <c r="D14" s="97">
        <v>1989.5</v>
      </c>
      <c r="E14" s="97">
        <f t="shared" si="0"/>
        <v>8254.1676295082507</v>
      </c>
      <c r="F14" s="32" t="s">
        <v>12</v>
      </c>
    </row>
    <row r="15" spans="1:6" x14ac:dyDescent="0.25">
      <c r="A15" s="115">
        <v>2000</v>
      </c>
      <c r="B15" s="26">
        <f>((3061/1.032)/1.053)/1.091+((2230/1.114)/1.194)/1.067</f>
        <v>4153.1174363679092</v>
      </c>
      <c r="C15" s="22">
        <f>((7413/1.067)/1.109)/1.087-B15</f>
        <v>1610.1462522321372</v>
      </c>
      <c r="D15" s="97">
        <f>12579/6.55957</f>
        <v>1917.6561878293851</v>
      </c>
      <c r="E15" s="97">
        <f t="shared" si="0"/>
        <v>7680.9198764294315</v>
      </c>
      <c r="F15" s="32" t="s">
        <v>22</v>
      </c>
    </row>
    <row r="16" spans="1:6" x14ac:dyDescent="0.25">
      <c r="A16" s="115">
        <v>1999</v>
      </c>
      <c r="B16" s="25">
        <f>26032/6.55957</f>
        <v>3968.5528167242669</v>
      </c>
      <c r="C16" s="20">
        <f>C15*(B16+D16)/(B15+D15)</f>
        <v>1515.7465980270565</v>
      </c>
      <c r="D16" s="97">
        <f>11455/6.55957</f>
        <v>1746.3034924545359</v>
      </c>
      <c r="E16" s="97">
        <f t="shared" si="0"/>
        <v>7230.6029072058591</v>
      </c>
      <c r="F16" s="32" t="s">
        <v>4</v>
      </c>
    </row>
    <row r="17" spans="1:6" x14ac:dyDescent="0.25">
      <c r="A17" s="115">
        <v>1998</v>
      </c>
      <c r="B17" s="25">
        <f>24779/6.55957</f>
        <v>3777.534198125792</v>
      </c>
      <c r="C17" s="20">
        <f>C18*(B17+D17)/(B18+D18)</f>
        <v>1129.847556891182</v>
      </c>
      <c r="D17" s="97">
        <f>11048/6.55957</f>
        <v>1684.2567424389099</v>
      </c>
      <c r="E17" s="97">
        <f t="shared" si="0"/>
        <v>6591.6384974558841</v>
      </c>
      <c r="F17" s="32" t="s">
        <v>4</v>
      </c>
    </row>
    <row r="18" spans="1:6" ht="15.75" thickBot="1" x14ac:dyDescent="0.3">
      <c r="A18" s="116">
        <v>1997</v>
      </c>
      <c r="B18" s="118">
        <f>23212/6.55957</f>
        <v>3538.6465881147697</v>
      </c>
      <c r="C18" s="103">
        <f>6998/6.55957</f>
        <v>1066.838222627398</v>
      </c>
      <c r="D18" s="103">
        <f>10617/6.55957</f>
        <v>1618.5512160095859</v>
      </c>
      <c r="E18" s="103">
        <f t="shared" si="0"/>
        <v>6224.0360267517535</v>
      </c>
      <c r="F18" s="33" t="s">
        <v>3</v>
      </c>
    </row>
    <row r="20" spans="1:6" x14ac:dyDescent="0.25">
      <c r="B20" t="s">
        <v>56</v>
      </c>
    </row>
    <row r="22" spans="1:6" x14ac:dyDescent="0.25">
      <c r="B22" s="1"/>
      <c r="C22" t="s">
        <v>23</v>
      </c>
    </row>
    <row r="23" spans="1:6" x14ac:dyDescent="0.25">
      <c r="B23" s="16"/>
      <c r="C23" t="s">
        <v>24</v>
      </c>
    </row>
    <row r="24" spans="1:6" x14ac:dyDescent="0.25">
      <c r="B24" s="15"/>
      <c r="C24" t="s">
        <v>25</v>
      </c>
    </row>
  </sheetData>
  <sortState ref="A4:F18">
    <sortCondition descending="1" ref="A4"/>
  </sortState>
  <mergeCells count="1">
    <mergeCell ref="B1:F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pane xSplit="1" ySplit="3" topLeftCell="B4" activePane="bottomRight" state="frozen"/>
      <selection pane="topRight" activeCell="B1" sqref="B1"/>
      <selection pane="bottomLeft" activeCell="A3" sqref="A3"/>
      <selection pane="bottomRight" activeCell="L4" sqref="L4"/>
    </sheetView>
  </sheetViews>
  <sheetFormatPr baseColWidth="10" defaultRowHeight="15" x14ac:dyDescent="0.25"/>
  <cols>
    <col min="2" max="2" width="18.85546875" customWidth="1"/>
    <col min="3" max="3" width="17.85546875" customWidth="1"/>
    <col min="4" max="5" width="19.140625" customWidth="1"/>
    <col min="6" max="6" width="20.140625" customWidth="1"/>
    <col min="7" max="7" width="20.85546875" customWidth="1"/>
    <col min="8" max="8" width="20.140625" customWidth="1"/>
    <col min="9" max="9" width="21.140625" customWidth="1"/>
    <col min="10" max="10" width="23.140625" customWidth="1"/>
    <col min="11" max="11" width="23.28515625" customWidth="1"/>
    <col min="12" max="12" width="23.42578125" customWidth="1"/>
    <col min="13" max="13" width="144.28515625" customWidth="1"/>
  </cols>
  <sheetData>
    <row r="1" spans="1:13" x14ac:dyDescent="0.25">
      <c r="A1" t="s">
        <v>139</v>
      </c>
      <c r="B1" t="s">
        <v>170</v>
      </c>
      <c r="C1" t="s">
        <v>171</v>
      </c>
      <c r="D1" t="s">
        <v>172</v>
      </c>
      <c r="E1" t="s">
        <v>173</v>
      </c>
      <c r="F1" t="s">
        <v>174</v>
      </c>
      <c r="G1" t="s">
        <v>175</v>
      </c>
      <c r="H1" t="s">
        <v>176</v>
      </c>
      <c r="I1" t="s">
        <v>177</v>
      </c>
      <c r="J1" t="s">
        <v>178</v>
      </c>
      <c r="K1" t="s">
        <v>179</v>
      </c>
      <c r="L1" t="s">
        <v>180</v>
      </c>
      <c r="M1" t="s">
        <v>192</v>
      </c>
    </row>
    <row r="2" spans="1:13" ht="69" customHeight="1" x14ac:dyDescent="0.25">
      <c r="A2" s="64"/>
      <c r="B2" s="93" t="s">
        <v>61</v>
      </c>
      <c r="C2" s="94"/>
      <c r="D2" s="94"/>
      <c r="E2" s="94"/>
      <c r="F2" s="94"/>
      <c r="G2" s="94"/>
      <c r="H2" s="94"/>
      <c r="I2" s="94"/>
      <c r="J2" s="94"/>
      <c r="K2" s="94"/>
      <c r="L2" s="94"/>
      <c r="M2" s="95"/>
    </row>
    <row r="3" spans="1:13" ht="75" x14ac:dyDescent="0.25">
      <c r="A3" s="64" t="s">
        <v>26</v>
      </c>
      <c r="B3" s="51" t="s">
        <v>62</v>
      </c>
      <c r="C3" s="51" t="s">
        <v>29</v>
      </c>
      <c r="D3" s="51" t="s">
        <v>33</v>
      </c>
      <c r="E3" s="51" t="s">
        <v>31</v>
      </c>
      <c r="F3" s="51" t="s">
        <v>63</v>
      </c>
      <c r="G3" s="51" t="s">
        <v>64</v>
      </c>
      <c r="H3" s="51" t="s">
        <v>65</v>
      </c>
      <c r="I3" s="51" t="s">
        <v>66</v>
      </c>
      <c r="J3" s="51" t="s">
        <v>67</v>
      </c>
      <c r="K3" s="51" t="s">
        <v>68</v>
      </c>
      <c r="L3" s="51" t="s">
        <v>69</v>
      </c>
      <c r="M3" s="53" t="s">
        <v>0</v>
      </c>
    </row>
    <row r="4" spans="1:13" x14ac:dyDescent="0.25">
      <c r="A4" s="54">
        <v>2012</v>
      </c>
      <c r="B4" s="83">
        <f>B5*AVERAGE(SUM($B6:$L6)/SUM($B7:$L7),SUM($B5:$L5)/SUM($B6:$L6))</f>
        <v>4711052.9409225909</v>
      </c>
      <c r="C4" s="83">
        <f t="shared" ref="C4:L4" si="0">C5*AVERAGE(SUM($B6:$L6)/SUM($B7:$L7),SUM($B5:$L5)/SUM($B6:$L6))</f>
        <v>823590.94250198093</v>
      </c>
      <c r="D4" s="83">
        <f t="shared" si="0"/>
        <v>2862957.65644272</v>
      </c>
      <c r="E4" s="83">
        <f t="shared" si="0"/>
        <v>732800.7279581211</v>
      </c>
      <c r="F4" s="84"/>
      <c r="G4" s="83">
        <f t="shared" si="0"/>
        <v>1885353.3535448364</v>
      </c>
      <c r="H4" s="83">
        <f t="shared" si="0"/>
        <v>537121.56936522142</v>
      </c>
      <c r="I4" s="83">
        <f t="shared" si="0"/>
        <v>52655.602750253915</v>
      </c>
      <c r="J4" s="83">
        <f t="shared" si="0"/>
        <v>2521374.1583133908</v>
      </c>
      <c r="K4" s="83">
        <f t="shared" si="0"/>
        <v>1288533.8210136439</v>
      </c>
      <c r="L4" s="83">
        <f t="shared" si="0"/>
        <v>2227244.0418770108</v>
      </c>
      <c r="M4" s="32"/>
    </row>
    <row r="5" spans="1:13" x14ac:dyDescent="0.25">
      <c r="A5" s="54">
        <v>2011</v>
      </c>
      <c r="B5" s="83">
        <f>B6*AVERAGE(SUM($B7:$L7)/SUM($B8:$L8),SUM($B6:$L6)/SUM($B7:$L7))</f>
        <v>4710647.7970536444</v>
      </c>
      <c r="C5" s="83">
        <f t="shared" ref="C5:E5" si="1">C6*AVERAGE(SUM($B7:$L7)/SUM($B8:$L8),SUM($B6:$L6)/SUM($B7:$L7))</f>
        <v>823520.11484942457</v>
      </c>
      <c r="D5" s="83">
        <f t="shared" si="1"/>
        <v>2862711.4461461883</v>
      </c>
      <c r="E5" s="83">
        <f t="shared" si="1"/>
        <v>732737.70813520369</v>
      </c>
      <c r="F5" s="84"/>
      <c r="G5" s="83">
        <f t="shared" ref="G5" si="2">G6*AVERAGE(SUM($B7:$L7)/SUM($B8:$L8),SUM($B6:$L6)/SUM($B7:$L7))</f>
        <v>1885191.2158313433</v>
      </c>
      <c r="H5" s="83">
        <f t="shared" ref="H5" si="3">H6*AVERAGE(SUM($B7:$L7)/SUM($B8:$L8),SUM($B6:$L6)/SUM($B7:$L7))</f>
        <v>537075.37767231627</v>
      </c>
      <c r="I5" s="83">
        <f t="shared" ref="I5:J5" si="4">I6*AVERAGE(SUM($B7:$L7)/SUM($B8:$L8),SUM($B6:$L6)/SUM($B7:$L7))</f>
        <v>52651.074443124395</v>
      </c>
      <c r="J5" s="83">
        <f t="shared" si="4"/>
        <v>2521157.3237130647</v>
      </c>
      <c r="K5" s="83">
        <f t="shared" ref="K5" si="5">K6*AVERAGE(SUM($B7:$L7)/SUM($B8:$L8),SUM($B6:$L6)/SUM($B7:$L7))</f>
        <v>1288423.0089331896</v>
      </c>
      <c r="L5" s="83">
        <f t="shared" ref="L5" si="6">L6*AVERAGE(SUM($B7:$L7)/SUM($B8:$L8),SUM($B6:$L6)/SUM($B7:$L7))</f>
        <v>2227052.5020493907</v>
      </c>
      <c r="M5" s="32"/>
    </row>
    <row r="6" spans="1:13" x14ac:dyDescent="0.25">
      <c r="A6" s="54">
        <v>2010</v>
      </c>
      <c r="B6" s="79">
        <v>4708136</v>
      </c>
      <c r="C6" s="80">
        <v>823081</v>
      </c>
      <c r="D6" s="81">
        <v>2861185</v>
      </c>
      <c r="E6" s="81">
        <v>732347</v>
      </c>
      <c r="F6" s="82"/>
      <c r="G6" s="81">
        <v>1884186</v>
      </c>
      <c r="H6" s="81">
        <v>536789</v>
      </c>
      <c r="I6" s="81">
        <v>52623</v>
      </c>
      <c r="J6" s="81">
        <v>2519813</v>
      </c>
      <c r="K6" s="81">
        <v>1287736</v>
      </c>
      <c r="L6" s="81">
        <v>2225865</v>
      </c>
      <c r="M6" s="32" t="s">
        <v>86</v>
      </c>
    </row>
    <row r="7" spans="1:13" x14ac:dyDescent="0.25">
      <c r="A7" s="54">
        <v>2009</v>
      </c>
      <c r="B7" s="79">
        <v>4682468</v>
      </c>
      <c r="C7" s="80">
        <v>822327</v>
      </c>
      <c r="D7" s="81">
        <v>2861844</v>
      </c>
      <c r="E7" s="81">
        <v>735916</v>
      </c>
      <c r="F7" s="82"/>
      <c r="G7" s="81">
        <v>1870213</v>
      </c>
      <c r="H7" s="81">
        <v>553248</v>
      </c>
      <c r="I7" s="81">
        <v>53765</v>
      </c>
      <c r="J7" s="81">
        <v>2516425</v>
      </c>
      <c r="K7" s="81">
        <v>1307006</v>
      </c>
      <c r="L7" s="81">
        <v>2234925</v>
      </c>
      <c r="M7" s="32" t="s">
        <v>86</v>
      </c>
    </row>
    <row r="8" spans="1:13" x14ac:dyDescent="0.25">
      <c r="A8" s="54">
        <v>2008</v>
      </c>
      <c r="B8" s="79">
        <v>4658612</v>
      </c>
      <c r="C8" s="80">
        <v>820893</v>
      </c>
      <c r="D8" s="81">
        <v>2899364</v>
      </c>
      <c r="E8" s="81">
        <v>705104</v>
      </c>
      <c r="F8" s="82"/>
      <c r="G8" s="81">
        <v>1874784</v>
      </c>
      <c r="H8" s="81">
        <v>567874</v>
      </c>
      <c r="I8" s="81">
        <v>52861</v>
      </c>
      <c r="J8" s="81">
        <v>2517212</v>
      </c>
      <c r="K8" s="81">
        <v>1301125</v>
      </c>
      <c r="L8" s="81">
        <v>2215148</v>
      </c>
      <c r="M8" s="32" t="s">
        <v>86</v>
      </c>
    </row>
    <row r="9" spans="1:13" x14ac:dyDescent="0.25">
      <c r="A9" s="54">
        <v>2007</v>
      </c>
      <c r="B9" s="79">
        <v>4638726</v>
      </c>
      <c r="C9" s="80">
        <v>813807</v>
      </c>
      <c r="D9" s="81">
        <v>2797804</v>
      </c>
      <c r="E9" s="81">
        <v>711786</v>
      </c>
      <c r="F9" s="82"/>
      <c r="G9" s="81">
        <v>1833882</v>
      </c>
      <c r="H9" s="81">
        <v>578363</v>
      </c>
      <c r="I9" s="81">
        <v>53201</v>
      </c>
      <c r="J9" s="81">
        <v>2397632</v>
      </c>
      <c r="K9" s="81">
        <v>1216984</v>
      </c>
      <c r="L9" s="81">
        <v>2091313</v>
      </c>
      <c r="M9" s="32" t="s">
        <v>86</v>
      </c>
    </row>
    <row r="10" spans="1:13" x14ac:dyDescent="0.25">
      <c r="A10" s="54">
        <v>2006</v>
      </c>
      <c r="B10" s="79">
        <v>4619216</v>
      </c>
      <c r="C10" s="80">
        <v>830302</v>
      </c>
      <c r="D10" s="81">
        <v>2836131</v>
      </c>
      <c r="E10" s="81">
        <v>683985</v>
      </c>
      <c r="F10" s="81">
        <v>49</v>
      </c>
      <c r="G10" s="81">
        <v>1824851</v>
      </c>
      <c r="H10" s="81">
        <v>586582</v>
      </c>
      <c r="I10" s="81">
        <v>54610</v>
      </c>
      <c r="J10" s="81">
        <v>2385445</v>
      </c>
      <c r="K10" s="81">
        <v>1199470</v>
      </c>
      <c r="L10" s="81">
        <v>2076004</v>
      </c>
      <c r="M10" s="32" t="s">
        <v>88</v>
      </c>
    </row>
    <row r="11" spans="1:13" x14ac:dyDescent="0.25">
      <c r="A11" s="54">
        <v>2005</v>
      </c>
      <c r="B11" s="79">
        <v>4599404</v>
      </c>
      <c r="C11" s="80">
        <v>847687</v>
      </c>
      <c r="D11" s="81">
        <v>2882870</v>
      </c>
      <c r="E11" s="81">
        <v>681188</v>
      </c>
      <c r="F11" s="81">
        <v>310146</v>
      </c>
      <c r="G11" s="81">
        <v>1285663</v>
      </c>
      <c r="H11" s="81">
        <v>398287</v>
      </c>
      <c r="I11" s="81">
        <v>54406</v>
      </c>
      <c r="J11" s="81">
        <v>2466157</v>
      </c>
      <c r="K11" s="81">
        <v>1209667</v>
      </c>
      <c r="L11" s="81">
        <v>2124951</v>
      </c>
      <c r="M11" s="32" t="s">
        <v>86</v>
      </c>
    </row>
    <row r="12" spans="1:13" x14ac:dyDescent="0.25">
      <c r="A12" s="54">
        <v>2004</v>
      </c>
      <c r="B12" s="79">
        <v>4319977</v>
      </c>
      <c r="C12" s="80">
        <v>827143</v>
      </c>
      <c r="D12" s="81">
        <v>2842908</v>
      </c>
      <c r="E12" s="81">
        <v>653783</v>
      </c>
      <c r="F12" s="81">
        <v>658428</v>
      </c>
      <c r="G12" s="81">
        <v>665671</v>
      </c>
      <c r="H12" s="81">
        <v>178922</v>
      </c>
      <c r="I12" s="81">
        <v>52850</v>
      </c>
      <c r="J12" s="81">
        <v>2484430</v>
      </c>
      <c r="K12" s="81">
        <v>1187232</v>
      </c>
      <c r="L12" s="81">
        <v>2104336</v>
      </c>
      <c r="M12" s="32" t="s">
        <v>86</v>
      </c>
    </row>
    <row r="13" spans="1:13" x14ac:dyDescent="0.25">
      <c r="A13" s="54">
        <v>2003</v>
      </c>
      <c r="B13" s="79">
        <v>4253717</v>
      </c>
      <c r="C13" s="80">
        <v>824418</v>
      </c>
      <c r="D13" s="81">
        <v>2816084</v>
      </c>
      <c r="E13" s="81">
        <v>637449</v>
      </c>
      <c r="F13" s="81">
        <v>1267404</v>
      </c>
      <c r="G13" s="82"/>
      <c r="H13" s="82"/>
      <c r="I13" s="82"/>
      <c r="J13" s="81">
        <v>2533765</v>
      </c>
      <c r="K13" s="81">
        <v>1177332</v>
      </c>
      <c r="L13" s="81">
        <v>2090450</v>
      </c>
      <c r="M13" s="32" t="s">
        <v>86</v>
      </c>
    </row>
    <row r="14" spans="1:13" x14ac:dyDescent="0.25">
      <c r="A14" s="54">
        <v>2002</v>
      </c>
      <c r="B14" s="79">
        <v>4210391</v>
      </c>
      <c r="C14" s="80">
        <v>829412</v>
      </c>
      <c r="D14" s="81">
        <v>2859442</v>
      </c>
      <c r="E14" s="81">
        <v>619000</v>
      </c>
      <c r="F14" s="81">
        <v>1297912</v>
      </c>
      <c r="G14" s="82"/>
      <c r="H14" s="82"/>
      <c r="I14" s="82"/>
      <c r="J14" s="81">
        <v>2601677</v>
      </c>
      <c r="K14" s="81">
        <v>1192268</v>
      </c>
      <c r="L14" s="81">
        <v>2088000</v>
      </c>
      <c r="M14" s="32" t="s">
        <v>86</v>
      </c>
    </row>
    <row r="15" spans="1:13" x14ac:dyDescent="0.25">
      <c r="A15" s="54">
        <v>2001</v>
      </c>
      <c r="B15" s="79">
        <v>4178756</v>
      </c>
      <c r="C15" s="80">
        <v>845918</v>
      </c>
      <c r="D15" s="81">
        <v>2869030</v>
      </c>
      <c r="E15" s="81">
        <v>607524</v>
      </c>
      <c r="F15" s="81">
        <v>1312549</v>
      </c>
      <c r="G15" s="82"/>
      <c r="H15" s="82"/>
      <c r="I15" s="82"/>
      <c r="J15" s="81">
        <v>2642917</v>
      </c>
      <c r="K15" s="81">
        <v>1199594</v>
      </c>
      <c r="L15" s="81">
        <v>2066604</v>
      </c>
      <c r="M15" s="32" t="s">
        <v>86</v>
      </c>
    </row>
    <row r="16" spans="1:13" x14ac:dyDescent="0.25">
      <c r="A16" s="54">
        <v>2000</v>
      </c>
      <c r="B16" s="79">
        <v>4138944</v>
      </c>
      <c r="C16" s="80">
        <v>855756</v>
      </c>
      <c r="D16" s="81">
        <v>2881766</v>
      </c>
      <c r="E16" s="81">
        <v>593338</v>
      </c>
      <c r="F16" s="81">
        <v>1314670</v>
      </c>
      <c r="G16" s="82"/>
      <c r="H16" s="82"/>
      <c r="I16" s="82"/>
      <c r="J16" s="81">
        <v>2684583</v>
      </c>
      <c r="K16" s="81">
        <v>1198643</v>
      </c>
      <c r="L16" s="81">
        <v>2093187</v>
      </c>
      <c r="M16" s="32" t="s">
        <v>86</v>
      </c>
    </row>
    <row r="17" spans="1:13" x14ac:dyDescent="0.25">
      <c r="A17" s="54">
        <v>1999</v>
      </c>
      <c r="B17" s="79">
        <v>4115354</v>
      </c>
      <c r="C17" s="80">
        <v>823621</v>
      </c>
      <c r="D17" s="81">
        <v>2907589</v>
      </c>
      <c r="E17" s="81">
        <v>588839</v>
      </c>
      <c r="F17" s="81">
        <v>1292824</v>
      </c>
      <c r="G17" s="82"/>
      <c r="H17" s="82"/>
      <c r="I17" s="82"/>
      <c r="J17" s="81">
        <v>2723568</v>
      </c>
      <c r="K17" s="81">
        <v>1169514</v>
      </c>
      <c r="L17" s="81">
        <v>2088262</v>
      </c>
      <c r="M17" s="32" t="s">
        <v>86</v>
      </c>
    </row>
    <row r="18" spans="1:13" x14ac:dyDescent="0.25">
      <c r="A18" s="54">
        <v>1998</v>
      </c>
      <c r="B18" s="79">
        <v>3764719</v>
      </c>
      <c r="C18" s="80">
        <v>825671</v>
      </c>
      <c r="D18" s="81">
        <v>2727915</v>
      </c>
      <c r="E18" s="81">
        <v>567182</v>
      </c>
      <c r="F18" s="81">
        <v>1294641</v>
      </c>
      <c r="G18" s="82"/>
      <c r="H18" s="82"/>
      <c r="I18" s="82"/>
      <c r="J18" s="81">
        <v>2757512</v>
      </c>
      <c r="K18" s="81">
        <v>1153975</v>
      </c>
      <c r="L18" s="81">
        <v>2092772</v>
      </c>
      <c r="M18" s="32" t="s">
        <v>86</v>
      </c>
    </row>
    <row r="19" spans="1:13" ht="15.75" thickBot="1" x14ac:dyDescent="0.3">
      <c r="A19" s="55">
        <v>1997</v>
      </c>
      <c r="B19" s="119">
        <f>B18*6115/5818</f>
        <v>3956902.145926435</v>
      </c>
      <c r="C19" s="119">
        <f>C18*6115/5818</f>
        <v>867820.2414919216</v>
      </c>
      <c r="D19" s="119">
        <f>D18*6115/5818</f>
        <v>2867170.8877621177</v>
      </c>
      <c r="E19" s="119">
        <f>E18*6115/5818</f>
        <v>596135.77346167073</v>
      </c>
      <c r="F19" s="119">
        <f>F18*6115/5818</f>
        <v>1360730.4425919559</v>
      </c>
      <c r="G19" s="120"/>
      <c r="H19" s="120"/>
      <c r="I19" s="120"/>
      <c r="J19" s="119">
        <f>J18*6115/5818</f>
        <v>2898278.7693365416</v>
      </c>
      <c r="K19" s="119">
        <f>K18*6115/5818</f>
        <v>1212883.6584737024</v>
      </c>
      <c r="L19" s="119">
        <f>L18*6115/5818</f>
        <v>2199604.809212788</v>
      </c>
      <c r="M19" s="33" t="s">
        <v>87</v>
      </c>
    </row>
    <row r="23" spans="1:13" x14ac:dyDescent="0.25">
      <c r="B23" s="66"/>
      <c r="C23" t="s">
        <v>91</v>
      </c>
    </row>
    <row r="24" spans="1:13" x14ac:dyDescent="0.25">
      <c r="B24" s="28"/>
      <c r="C24" t="s">
        <v>41</v>
      </c>
    </row>
    <row r="25" spans="1:13" x14ac:dyDescent="0.25">
      <c r="B25" s="1"/>
      <c r="C25" t="s">
        <v>118</v>
      </c>
    </row>
  </sheetData>
  <sortState ref="A4:M19">
    <sortCondition descending="1" ref="A4"/>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pane xSplit="1" ySplit="3" topLeftCell="B4" activePane="bottomRight" state="frozen"/>
      <selection pane="topRight" activeCell="B1" sqref="B1"/>
      <selection pane="bottomLeft" activeCell="A3" sqref="A3"/>
      <selection pane="bottomRight" activeCell="E28" sqref="E28"/>
    </sheetView>
  </sheetViews>
  <sheetFormatPr baseColWidth="10" defaultRowHeight="15" x14ac:dyDescent="0.25"/>
  <cols>
    <col min="2" max="2" width="22" customWidth="1"/>
    <col min="3" max="3" width="19.7109375" customWidth="1"/>
    <col min="4" max="4" width="20.28515625" customWidth="1"/>
    <col min="5" max="5" width="18.28515625" customWidth="1"/>
    <col min="6" max="6" width="18.5703125" customWidth="1"/>
    <col min="7" max="7" width="25.5703125" customWidth="1"/>
    <col min="8" max="8" width="21.85546875" customWidth="1"/>
    <col min="9" max="9" width="225" customWidth="1"/>
  </cols>
  <sheetData>
    <row r="1" spans="1:9" x14ac:dyDescent="0.25">
      <c r="A1" t="s">
        <v>139</v>
      </c>
      <c r="B1" t="s">
        <v>181</v>
      </c>
      <c r="C1" t="s">
        <v>182</v>
      </c>
      <c r="D1" t="s">
        <v>183</v>
      </c>
      <c r="E1" t="s">
        <v>184</v>
      </c>
      <c r="F1" t="s">
        <v>185</v>
      </c>
      <c r="G1" t="s">
        <v>191</v>
      </c>
      <c r="H1" t="s">
        <v>186</v>
      </c>
      <c r="I1" t="s">
        <v>192</v>
      </c>
    </row>
    <row r="2" spans="1:9" ht="45.75" customHeight="1" x14ac:dyDescent="0.25">
      <c r="A2" s="64"/>
      <c r="B2" s="93" t="s">
        <v>76</v>
      </c>
      <c r="C2" s="94"/>
      <c r="D2" s="94"/>
      <c r="E2" s="94"/>
      <c r="F2" s="94"/>
      <c r="G2" s="94"/>
      <c r="H2" s="94"/>
      <c r="I2" s="95"/>
    </row>
    <row r="3" spans="1:9" ht="50.25" customHeight="1" thickBot="1" x14ac:dyDescent="0.3">
      <c r="A3" s="64" t="s">
        <v>26</v>
      </c>
      <c r="B3" s="86" t="s">
        <v>70</v>
      </c>
      <c r="C3" s="86" t="s">
        <v>71</v>
      </c>
      <c r="D3" s="86" t="s">
        <v>72</v>
      </c>
      <c r="E3" s="87" t="s">
        <v>73</v>
      </c>
      <c r="F3" s="87" t="s">
        <v>74</v>
      </c>
      <c r="G3" s="87" t="s">
        <v>75</v>
      </c>
      <c r="H3" s="86" t="s">
        <v>85</v>
      </c>
      <c r="I3" s="88" t="s">
        <v>0</v>
      </c>
    </row>
    <row r="4" spans="1:9" x14ac:dyDescent="0.25">
      <c r="A4" s="54">
        <v>2012</v>
      </c>
      <c r="B4" s="84"/>
      <c r="C4" s="84"/>
      <c r="D4" s="83">
        <f>D5*SUM($B5:$H5)/SUM($B6:$H6)</f>
        <v>1899683.3421529827</v>
      </c>
      <c r="E4" s="83">
        <f t="shared" ref="E4:H4" si="0">E5*SUM($B5:$H5)/SUM($B6:$H6)</f>
        <v>1219824.5475351536</v>
      </c>
      <c r="F4" s="83">
        <f t="shared" si="0"/>
        <v>470918.50220913748</v>
      </c>
      <c r="G4" s="83">
        <f t="shared" si="0"/>
        <v>208940.29240869157</v>
      </c>
      <c r="H4" s="83">
        <f t="shared" si="0"/>
        <v>615895.43186907144</v>
      </c>
      <c r="I4" s="32"/>
    </row>
    <row r="5" spans="1:9" x14ac:dyDescent="0.25">
      <c r="A5" s="54">
        <v>2011</v>
      </c>
      <c r="B5" s="84"/>
      <c r="C5" s="84"/>
      <c r="D5" s="83">
        <f>D6*SUM($B6:$H6)/SUM($B7:$H7)</f>
        <v>1885307.4942899621</v>
      </c>
      <c r="E5" s="83">
        <f t="shared" ref="E5:H5" si="1">E6*SUM($B6:$H6)/SUM($B7:$H7)</f>
        <v>1210593.52901442</v>
      </c>
      <c r="F5" s="83">
        <f t="shared" si="1"/>
        <v>467354.82788857014</v>
      </c>
      <c r="G5" s="83">
        <f t="shared" si="1"/>
        <v>207359.13738697188</v>
      </c>
      <c r="H5" s="83">
        <f t="shared" si="1"/>
        <v>611234.64507812948</v>
      </c>
      <c r="I5" s="32"/>
    </row>
    <row r="6" spans="1:9" x14ac:dyDescent="0.25">
      <c r="A6" s="54">
        <v>2010</v>
      </c>
      <c r="B6" s="81">
        <v>30227</v>
      </c>
      <c r="C6" s="81">
        <v>140199</v>
      </c>
      <c r="D6" s="81">
        <v>1797714</v>
      </c>
      <c r="E6" s="81">
        <v>1154348</v>
      </c>
      <c r="F6" s="81">
        <v>445641</v>
      </c>
      <c r="G6" s="81">
        <v>197725</v>
      </c>
      <c r="H6" s="85">
        <v>582836</v>
      </c>
      <c r="I6" s="32" t="s">
        <v>90</v>
      </c>
    </row>
    <row r="7" spans="1:9" x14ac:dyDescent="0.25">
      <c r="A7" s="54">
        <v>2009</v>
      </c>
      <c r="B7" s="81">
        <v>29763</v>
      </c>
      <c r="C7" s="81">
        <v>139332</v>
      </c>
      <c r="D7" s="81">
        <v>1697357</v>
      </c>
      <c r="E7" s="81">
        <v>1116935</v>
      </c>
      <c r="F7" s="81">
        <v>404461</v>
      </c>
      <c r="G7" s="81">
        <v>175961</v>
      </c>
      <c r="H7" s="85">
        <v>582836</v>
      </c>
      <c r="I7" s="32" t="s">
        <v>90</v>
      </c>
    </row>
    <row r="8" spans="1:9" x14ac:dyDescent="0.25">
      <c r="A8" s="54">
        <v>2008</v>
      </c>
      <c r="B8" s="81">
        <v>199500</v>
      </c>
      <c r="C8" s="81">
        <v>1120527</v>
      </c>
      <c r="D8" s="82"/>
      <c r="E8" s="82"/>
      <c r="F8" s="82"/>
      <c r="G8" s="82"/>
      <c r="H8" s="85">
        <v>575157</v>
      </c>
      <c r="I8" s="32" t="s">
        <v>90</v>
      </c>
    </row>
    <row r="9" spans="1:9" x14ac:dyDescent="0.25">
      <c r="A9" s="54">
        <v>2007</v>
      </c>
      <c r="B9" s="81">
        <v>204304</v>
      </c>
      <c r="C9" s="81">
        <v>1151180</v>
      </c>
      <c r="D9" s="82"/>
      <c r="E9" s="82"/>
      <c r="F9" s="82"/>
      <c r="G9" s="82"/>
      <c r="H9" s="85">
        <v>585548</v>
      </c>
      <c r="I9" s="32" t="s">
        <v>90</v>
      </c>
    </row>
    <row r="10" spans="1:9" x14ac:dyDescent="0.25">
      <c r="A10" s="54">
        <v>2006</v>
      </c>
      <c r="B10" s="81">
        <v>216278</v>
      </c>
      <c r="C10" s="81">
        <v>1255549</v>
      </c>
      <c r="D10" s="82"/>
      <c r="E10" s="82"/>
      <c r="F10" s="82"/>
      <c r="G10" s="82"/>
      <c r="H10" s="85">
        <v>598541</v>
      </c>
      <c r="I10" s="32" t="s">
        <v>90</v>
      </c>
    </row>
    <row r="11" spans="1:9" x14ac:dyDescent="0.25">
      <c r="A11" s="54">
        <v>2005</v>
      </c>
      <c r="B11" s="81">
        <v>204873</v>
      </c>
      <c r="C11" s="81">
        <v>1266429</v>
      </c>
      <c r="D11" s="82"/>
      <c r="E11" s="82"/>
      <c r="F11" s="82"/>
      <c r="G11" s="82"/>
      <c r="H11" s="85">
        <v>609385</v>
      </c>
      <c r="I11" s="32" t="s">
        <v>90</v>
      </c>
    </row>
    <row r="12" spans="1:9" x14ac:dyDescent="0.25">
      <c r="A12" s="54">
        <v>2004</v>
      </c>
      <c r="B12" s="81">
        <v>195441</v>
      </c>
      <c r="C12" s="81">
        <v>1215585</v>
      </c>
      <c r="D12" s="82"/>
      <c r="E12" s="82"/>
      <c r="F12" s="82"/>
      <c r="G12" s="82"/>
      <c r="H12" s="85">
        <v>621648</v>
      </c>
      <c r="I12" s="32" t="s">
        <v>90</v>
      </c>
    </row>
    <row r="13" spans="1:9" x14ac:dyDescent="0.25">
      <c r="A13" s="54">
        <v>2003</v>
      </c>
      <c r="B13" s="81">
        <v>187637</v>
      </c>
      <c r="C13" s="81">
        <v>1120844</v>
      </c>
      <c r="D13" s="82"/>
      <c r="E13" s="82"/>
      <c r="F13" s="82"/>
      <c r="G13" s="82"/>
      <c r="H13" s="85">
        <v>634163</v>
      </c>
      <c r="I13" s="32" t="s">
        <v>90</v>
      </c>
    </row>
    <row r="14" spans="1:9" x14ac:dyDescent="0.25">
      <c r="A14" s="54">
        <v>2002</v>
      </c>
      <c r="B14" s="81">
        <v>179726</v>
      </c>
      <c r="C14" s="81">
        <v>1068923</v>
      </c>
      <c r="D14" s="82"/>
      <c r="E14" s="82"/>
      <c r="F14" s="82"/>
      <c r="G14" s="82"/>
      <c r="H14" s="85">
        <v>668036</v>
      </c>
      <c r="I14" s="32" t="s">
        <v>90</v>
      </c>
    </row>
    <row r="15" spans="1:9" x14ac:dyDescent="0.25">
      <c r="A15" s="54">
        <v>2001</v>
      </c>
      <c r="B15" s="81">
        <v>175609</v>
      </c>
      <c r="C15" s="81">
        <v>1051725</v>
      </c>
      <c r="D15" s="82"/>
      <c r="E15" s="82"/>
      <c r="F15" s="82"/>
      <c r="G15" s="82"/>
      <c r="H15" s="85">
        <v>723089</v>
      </c>
      <c r="I15" s="32" t="s">
        <v>90</v>
      </c>
    </row>
    <row r="16" spans="1:9" x14ac:dyDescent="0.25">
      <c r="A16" s="54">
        <v>2000</v>
      </c>
      <c r="B16" s="81">
        <v>169068</v>
      </c>
      <c r="C16" s="81">
        <v>1072258</v>
      </c>
      <c r="D16" s="82"/>
      <c r="E16" s="82"/>
      <c r="F16" s="82"/>
      <c r="G16" s="82"/>
      <c r="H16" s="85">
        <v>765907</v>
      </c>
      <c r="I16" s="32" t="s">
        <v>90</v>
      </c>
    </row>
    <row r="17" spans="1:9" x14ac:dyDescent="0.25">
      <c r="A17" s="54">
        <v>1999</v>
      </c>
      <c r="B17" s="81">
        <v>167074</v>
      </c>
      <c r="C17" s="81">
        <v>1120251</v>
      </c>
      <c r="D17" s="82"/>
      <c r="E17" s="82"/>
      <c r="F17" s="82"/>
      <c r="G17" s="82"/>
      <c r="H17" s="85">
        <v>807831</v>
      </c>
      <c r="I17" s="32" t="s">
        <v>90</v>
      </c>
    </row>
    <row r="18" spans="1:9" x14ac:dyDescent="0.25">
      <c r="A18" s="54">
        <v>1998</v>
      </c>
      <c r="B18" s="81">
        <v>161903</v>
      </c>
      <c r="C18" s="81">
        <v>1087861</v>
      </c>
      <c r="D18" s="82"/>
      <c r="E18" s="82"/>
      <c r="F18" s="82"/>
      <c r="G18" s="82"/>
      <c r="H18" s="85">
        <v>840678</v>
      </c>
      <c r="I18" s="32" t="s">
        <v>90</v>
      </c>
    </row>
    <row r="19" spans="1:9" ht="15.75" thickBot="1" x14ac:dyDescent="0.3">
      <c r="A19" s="55">
        <v>1997</v>
      </c>
      <c r="B19" s="121">
        <v>162349</v>
      </c>
      <c r="C19" s="121">
        <v>1067901</v>
      </c>
      <c r="D19" s="122"/>
      <c r="E19" s="122"/>
      <c r="F19" s="122"/>
      <c r="G19" s="122"/>
      <c r="H19" s="123">
        <v>886061</v>
      </c>
      <c r="I19" s="33" t="s">
        <v>89</v>
      </c>
    </row>
    <row r="21" spans="1:9" x14ac:dyDescent="0.25">
      <c r="B21" t="s">
        <v>104</v>
      </c>
    </row>
    <row r="22" spans="1:9" x14ac:dyDescent="0.25">
      <c r="B22" s="28"/>
      <c r="C22" t="s">
        <v>41</v>
      </c>
    </row>
    <row r="23" spans="1:9" x14ac:dyDescent="0.25">
      <c r="B23" s="1"/>
      <c r="C23" t="s">
        <v>117</v>
      </c>
    </row>
    <row r="29" spans="1:9" x14ac:dyDescent="0.25">
      <c r="D29" s="65"/>
      <c r="E29" s="65"/>
    </row>
    <row r="30" spans="1:9" x14ac:dyDescent="0.25">
      <c r="D30" s="65"/>
      <c r="E30" s="65"/>
    </row>
  </sheetData>
  <sortState ref="A4:I19">
    <sortCondition descending="1" ref="A4"/>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Sommaire</vt:lpstr>
      <vt:lpstr>Dépenses PF</vt:lpstr>
      <vt:lpstr>Dépenses MS</vt:lpstr>
      <vt:lpstr>Dépenses IJ régime général</vt:lpstr>
      <vt:lpstr>Bénéficiaires PF</vt:lpstr>
      <vt:lpstr>Bénéficiaires 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Brice Fabre</dc:creator>
  <cp:lastModifiedBy>Antoine Bozio</cp:lastModifiedBy>
  <dcterms:created xsi:type="dcterms:W3CDTF">2012-02-16T14:03:42Z</dcterms:created>
  <dcterms:modified xsi:type="dcterms:W3CDTF">2012-09-05T17:23:50Z</dcterms:modified>
</cp:coreProperties>
</file>