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1410" windowWidth="28035" windowHeight="10785" activeTab="1"/>
  </bookViews>
  <sheets>
    <sheet name="Sommaire" sheetId="4" r:id="rId1"/>
    <sheet name="Calcul_assietteCSG" sheetId="7" r:id="rId2"/>
    <sheet name="CSG-CRDS (V&amp;M)" sheetId="12" r:id="rId3"/>
    <sheet name="Recettes CSG (CCSS)" sheetId="1" r:id="rId4"/>
    <sheet name="Recettes CSG (FSV)" sheetId="5" r:id="rId5"/>
    <sheet name="tx (FSV)" sheetId="6" r:id="rId6"/>
    <sheet name="Calculs_prélim_Rev_cap_CSG" sheetId="9" r:id="rId7"/>
    <sheet name="Rev_cap_CSG" sheetId="10" r:id="rId8"/>
    <sheet name="EXO" sheetId="8" r:id="rId9"/>
    <sheet name="Rému FP" sheetId="11" r:id="rId10"/>
  </sheets>
  <externalReferences>
    <externalReference r:id="rId11"/>
    <externalReference r:id="rId12"/>
    <externalReference r:id="rId13"/>
    <externalReference r:id="rId14"/>
    <externalReference r:id="rId15"/>
  </externalReferences>
  <definedNames>
    <definedName name="B_SEULS_NOVIEUX">#REF!</definedName>
    <definedName name="column_headings">#REF!</definedName>
    <definedName name="column_numbers">#REF!</definedName>
    <definedName name="data">#REF!</definedName>
    <definedName name="ea_flux">#REF!</definedName>
    <definedName name="Equilibre">#REF!</definedName>
    <definedName name="footnotes">#REF!</definedName>
    <definedName name="PIB">#REF!</definedName>
    <definedName name="ressources">#REF!</definedName>
    <definedName name="rpflux">#REF!</definedName>
    <definedName name="rptof">#REF!</definedName>
    <definedName name="spanners_level1">#REF!</definedName>
    <definedName name="spanners_level2">#REF!</definedName>
    <definedName name="spanners_level3">#REF!</definedName>
    <definedName name="spanners_level4">#REF!</definedName>
    <definedName name="spanners_level5">#REF!</definedName>
    <definedName name="stub_lines">#REF!</definedName>
    <definedName name="titles">#REF!</definedName>
    <definedName name="totals" localSheetId="7">#REF!</definedName>
    <definedName name="totals">#REF!</definedName>
  </definedNames>
  <calcPr calcId="145621"/>
</workbook>
</file>

<file path=xl/calcChain.xml><?xml version="1.0" encoding="utf-8"?>
<calcChain xmlns="http://schemas.openxmlformats.org/spreadsheetml/2006/main">
  <c r="A5" i="10" l="1"/>
  <c r="A6" i="10" s="1"/>
  <c r="A7" i="10" s="1"/>
  <c r="A8" i="10" s="1"/>
  <c r="A9" i="10" s="1"/>
  <c r="A10" i="10" s="1"/>
  <c r="A11" i="10" s="1"/>
  <c r="A12" i="10" s="1"/>
  <c r="A13" i="10" s="1"/>
  <c r="A14" i="10" s="1"/>
  <c r="A15" i="10" s="1"/>
  <c r="A16" i="10" s="1"/>
  <c r="A17" i="10" s="1"/>
  <c r="A18" i="10" s="1"/>
  <c r="A4" i="10"/>
  <c r="I18" i="10"/>
  <c r="E18" i="10"/>
  <c r="I17" i="10"/>
  <c r="E17" i="10"/>
  <c r="I16" i="10"/>
  <c r="E16" i="10"/>
  <c r="I15" i="10"/>
  <c r="E15" i="10"/>
  <c r="I14" i="10"/>
  <c r="E14" i="10"/>
  <c r="I13" i="10"/>
  <c r="E13" i="10"/>
  <c r="I12" i="10"/>
  <c r="F12" i="10"/>
  <c r="E12" i="10"/>
  <c r="I11" i="10"/>
  <c r="F11" i="10"/>
  <c r="E11" i="10"/>
  <c r="I10" i="10"/>
  <c r="F10" i="10"/>
  <c r="E10" i="10"/>
  <c r="I9" i="10"/>
  <c r="F9" i="10"/>
  <c r="E9" i="10"/>
  <c r="I8" i="10"/>
  <c r="F8" i="10"/>
  <c r="E8" i="10"/>
  <c r="I7" i="10"/>
  <c r="F7" i="10"/>
  <c r="E7" i="10"/>
  <c r="I6" i="10"/>
  <c r="F6" i="10"/>
  <c r="E6" i="10"/>
  <c r="I5" i="10"/>
  <c r="F5" i="10"/>
  <c r="E5" i="10"/>
  <c r="I4" i="10"/>
  <c r="F4" i="10"/>
  <c r="E4" i="10"/>
  <c r="I3" i="10"/>
  <c r="F3" i="10"/>
  <c r="E3" i="10"/>
  <c r="O19" i="9"/>
  <c r="P18" i="9"/>
  <c r="O18" i="9"/>
  <c r="P17" i="9"/>
  <c r="O17" i="9"/>
  <c r="P16" i="9"/>
  <c r="O16" i="9"/>
  <c r="P15" i="9"/>
  <c r="O15" i="9"/>
  <c r="P14" i="9"/>
  <c r="O14" i="9"/>
  <c r="P13" i="9"/>
  <c r="O13" i="9"/>
  <c r="P12" i="9"/>
  <c r="O12" i="9"/>
  <c r="P11" i="9"/>
  <c r="O11" i="9"/>
  <c r="P10" i="9"/>
  <c r="O10" i="9"/>
  <c r="P9" i="9"/>
  <c r="O9" i="9"/>
  <c r="P8" i="9"/>
  <c r="O8" i="9"/>
  <c r="P7" i="9"/>
  <c r="O7" i="9"/>
  <c r="P6" i="9"/>
  <c r="O6" i="9"/>
  <c r="P5" i="9"/>
  <c r="O5" i="9"/>
  <c r="M10" i="10" l="1"/>
  <c r="M11" i="10" s="1"/>
  <c r="M12" i="10" s="1"/>
  <c r="M13" i="10" s="1"/>
  <c r="M14" i="10" s="1"/>
  <c r="M15" i="10" s="1"/>
  <c r="M16" i="10" s="1"/>
  <c r="M17" i="10" s="1"/>
  <c r="M18" i="10" s="1"/>
  <c r="M7" i="10"/>
  <c r="M6" i="10" s="1"/>
  <c r="M5" i="10" s="1"/>
  <c r="M4" i="10" s="1"/>
  <c r="M3" i="10" s="1"/>
  <c r="P19" i="9"/>
  <c r="AB17" i="1" l="1"/>
  <c r="AC17" i="1"/>
  <c r="AB16" i="1"/>
  <c r="AC16" i="1"/>
  <c r="AB15" i="1"/>
  <c r="AC15" i="1"/>
  <c r="AB14" i="1"/>
  <c r="AC14" i="1"/>
  <c r="AB13" i="1"/>
  <c r="AC13" i="1"/>
  <c r="AB12" i="1"/>
  <c r="AC12" i="1"/>
  <c r="AB11" i="1"/>
  <c r="AC11" i="1"/>
  <c r="AB10" i="1"/>
  <c r="AC10" i="1"/>
  <c r="AB9" i="1"/>
  <c r="AC9" i="1"/>
  <c r="AB8" i="1"/>
  <c r="AC8" i="1"/>
  <c r="AB7" i="1"/>
  <c r="AC7" i="1"/>
  <c r="AB6" i="1"/>
  <c r="AC6" i="1"/>
  <c r="AB5" i="1"/>
  <c r="AC5" i="1"/>
  <c r="AB4" i="1"/>
  <c r="AC4" i="1"/>
  <c r="AB3" i="1"/>
  <c r="AC3" i="1"/>
  <c r="AB2" i="1"/>
  <c r="AC2" i="1"/>
  <c r="AA17" i="1"/>
  <c r="AA16" i="1"/>
  <c r="AA15" i="1"/>
  <c r="AA14" i="1"/>
  <c r="AA13" i="1"/>
  <c r="AA12" i="1"/>
  <c r="AA11" i="1"/>
  <c r="AA10" i="1"/>
  <c r="AA9" i="1"/>
  <c r="AA8" i="1"/>
  <c r="AA7" i="1"/>
  <c r="AA6" i="1"/>
  <c r="AA5" i="1"/>
  <c r="AA4" i="1"/>
  <c r="AA3" i="1"/>
  <c r="AA2" i="1"/>
  <c r="X3" i="1"/>
  <c r="X4" i="1"/>
  <c r="X5" i="1"/>
  <c r="X6" i="1"/>
  <c r="X7" i="1"/>
  <c r="X8" i="1"/>
  <c r="X9" i="1"/>
  <c r="X10" i="1"/>
  <c r="X11" i="1"/>
  <c r="X12" i="1"/>
  <c r="X13" i="1"/>
  <c r="X14" i="1"/>
  <c r="X15" i="1"/>
  <c r="X16" i="1"/>
  <c r="X17" i="1"/>
  <c r="X2" i="1"/>
  <c r="W17" i="1"/>
  <c r="W16" i="1"/>
  <c r="V17" i="1"/>
  <c r="V16" i="1"/>
  <c r="U17" i="1"/>
  <c r="U16" i="1"/>
  <c r="W3" i="1"/>
  <c r="W4" i="1"/>
  <c r="W5" i="1"/>
  <c r="W6" i="1"/>
  <c r="W7" i="1"/>
  <c r="W8" i="1"/>
  <c r="W9" i="1"/>
  <c r="W10" i="1"/>
  <c r="W11" i="1"/>
  <c r="W12" i="1"/>
  <c r="W13" i="1"/>
  <c r="W14" i="1"/>
  <c r="W15" i="1"/>
  <c r="V3" i="1"/>
  <c r="V4" i="1"/>
  <c r="V5" i="1"/>
  <c r="V6" i="1"/>
  <c r="V7" i="1"/>
  <c r="V8" i="1"/>
  <c r="V9" i="1"/>
  <c r="V10" i="1"/>
  <c r="V11" i="1"/>
  <c r="V12" i="1"/>
  <c r="V13" i="1"/>
  <c r="V14" i="1"/>
  <c r="V15" i="1"/>
  <c r="U3" i="1"/>
  <c r="U4" i="1"/>
  <c r="U5" i="1"/>
  <c r="U6" i="1"/>
  <c r="U7" i="1"/>
  <c r="U8" i="1"/>
  <c r="U9" i="1"/>
  <c r="U10" i="1"/>
  <c r="U11" i="1"/>
  <c r="U12" i="1"/>
  <c r="U13" i="1"/>
  <c r="U14" i="1"/>
  <c r="U15" i="1"/>
  <c r="W2" i="1"/>
  <c r="V2" i="1"/>
  <c r="U2" i="1"/>
  <c r="V18" i="5" l="1"/>
  <c r="P18" i="5"/>
  <c r="Q18" i="5"/>
  <c r="R18" i="5"/>
  <c r="S18" i="5"/>
  <c r="T18" i="5"/>
  <c r="U18" i="5"/>
  <c r="G18" i="5" l="1"/>
  <c r="H18" i="5"/>
  <c r="I18" i="5"/>
  <c r="J18" i="5"/>
  <c r="K18" i="5"/>
  <c r="L18" i="5"/>
  <c r="M18" i="5"/>
  <c r="N18" i="5"/>
  <c r="O18" i="5"/>
  <c r="F18" i="5"/>
  <c r="V12" i="5"/>
  <c r="V13" i="5"/>
  <c r="V14" i="5"/>
  <c r="V15" i="5"/>
  <c r="V16" i="5"/>
  <c r="V17" i="5"/>
  <c r="V11" i="5"/>
  <c r="P12" i="5"/>
  <c r="P13" i="5"/>
  <c r="P14" i="5"/>
  <c r="P15" i="5"/>
  <c r="P16" i="5"/>
  <c r="P17" i="5"/>
  <c r="P11" i="5"/>
  <c r="AD18" i="5"/>
  <c r="D4" i="12"/>
  <c r="D5" i="12"/>
  <c r="D6" i="12"/>
  <c r="D7" i="12"/>
  <c r="D8" i="12"/>
  <c r="D9" i="12"/>
  <c r="D10" i="12"/>
  <c r="D11" i="12"/>
  <c r="D12" i="12"/>
  <c r="D13" i="12"/>
  <c r="D14" i="12"/>
  <c r="D15" i="12"/>
  <c r="D16" i="12"/>
  <c r="D17" i="12"/>
  <c r="D3" i="12"/>
  <c r="E6" i="11" l="1"/>
  <c r="E7" i="11"/>
  <c r="E8" i="11"/>
  <c r="E9" i="11"/>
  <c r="E10" i="11"/>
  <c r="E11" i="11"/>
  <c r="E12" i="11"/>
  <c r="E13" i="11"/>
  <c r="E5" i="11"/>
  <c r="I20" i="8" l="1"/>
  <c r="I21" i="8"/>
  <c r="I22" i="8"/>
  <c r="H21" i="8"/>
  <c r="H22" i="8"/>
  <c r="H20" i="8"/>
  <c r="I19" i="8"/>
  <c r="D15" i="8"/>
  <c r="H15" i="8" s="1"/>
  <c r="H14" i="8"/>
  <c r="H12" i="8"/>
  <c r="H13" i="8"/>
  <c r="G5" i="8" l="1"/>
  <c r="G4" i="8"/>
  <c r="G3" i="8"/>
  <c r="H7" i="8"/>
  <c r="H6" i="8"/>
  <c r="H9" i="8"/>
  <c r="H10" i="8"/>
  <c r="H11" i="8"/>
  <c r="H8" i="8"/>
  <c r="P17" i="1" l="1"/>
  <c r="P16" i="1"/>
  <c r="P15" i="1"/>
  <c r="O15" i="1"/>
  <c r="N15" i="1"/>
  <c r="J15" i="1"/>
  <c r="I15" i="1"/>
  <c r="C15" i="1"/>
  <c r="B17" i="1"/>
  <c r="B16" i="1"/>
  <c r="B15" i="1"/>
  <c r="F14" i="9" l="1"/>
  <c r="B13" i="10" s="1"/>
  <c r="F15" i="9"/>
  <c r="B14" i="10" s="1"/>
  <c r="F16" i="9"/>
  <c r="B15" i="10" s="1"/>
  <c r="F17" i="9"/>
  <c r="F13" i="9"/>
  <c r="B12" i="10" s="1"/>
  <c r="F12" i="9"/>
  <c r="B11" i="10" s="1"/>
  <c r="F11" i="9"/>
  <c r="B10" i="10" s="1"/>
  <c r="H10" i="9"/>
  <c r="H9" i="10" s="1"/>
  <c r="H5" i="9"/>
  <c r="H4" i="10" s="1"/>
  <c r="H6" i="9"/>
  <c r="H5" i="10" s="1"/>
  <c r="H7" i="9"/>
  <c r="H6" i="10" s="1"/>
  <c r="H8" i="9"/>
  <c r="H7" i="10" s="1"/>
  <c r="H9" i="9"/>
  <c r="H8" i="10" s="1"/>
  <c r="G5" i="9"/>
  <c r="C4" i="10" s="1"/>
  <c r="G6" i="9"/>
  <c r="C5" i="10" s="1"/>
  <c r="G7" i="9"/>
  <c r="C6" i="10" s="1"/>
  <c r="G8" i="9"/>
  <c r="C7" i="10" s="1"/>
  <c r="G9" i="9"/>
  <c r="C8" i="10" s="1"/>
  <c r="H4" i="9"/>
  <c r="H3" i="10" s="1"/>
  <c r="G4" i="9"/>
  <c r="C3" i="10" s="1"/>
  <c r="B16" i="10" l="1"/>
  <c r="F18" i="9"/>
  <c r="F19" i="9" s="1"/>
  <c r="L7" i="10"/>
  <c r="O7" i="10" s="1"/>
  <c r="K7" i="10"/>
  <c r="N7" i="10" s="1"/>
  <c r="K3" i="10"/>
  <c r="N3" i="10" s="1"/>
  <c r="L3" i="10"/>
  <c r="O3" i="10" s="1"/>
  <c r="L6" i="10"/>
  <c r="O6" i="10" s="1"/>
  <c r="K6" i="10"/>
  <c r="N6" i="10" s="1"/>
  <c r="L5" i="10"/>
  <c r="O5" i="10" s="1"/>
  <c r="K5" i="10"/>
  <c r="N5" i="10" s="1"/>
  <c r="L4" i="10"/>
  <c r="O4" i="10" s="1"/>
  <c r="K4" i="10"/>
  <c r="N4" i="10" s="1"/>
  <c r="K8" i="10"/>
  <c r="N8" i="10" s="1"/>
  <c r="L8" i="10"/>
  <c r="O8" i="10" s="1"/>
  <c r="B18" i="10" l="1"/>
  <c r="B17" i="10"/>
  <c r="D8" i="7"/>
  <c r="I13" i="8" l="1"/>
  <c r="I14" i="8"/>
  <c r="I15" i="8"/>
  <c r="I4" i="8"/>
  <c r="I5" i="8"/>
  <c r="I8" i="8"/>
  <c r="I9" i="8"/>
  <c r="I10" i="8"/>
  <c r="I11" i="8"/>
  <c r="I12" i="8"/>
  <c r="I3" i="8"/>
  <c r="I6" i="8"/>
  <c r="I7" i="8"/>
  <c r="B17" i="9" l="1"/>
  <c r="B16" i="9"/>
  <c r="B15" i="9"/>
  <c r="B14" i="9"/>
  <c r="B13" i="9"/>
  <c r="B12" i="9"/>
  <c r="B11" i="9"/>
  <c r="D10" i="9"/>
  <c r="C10" i="9"/>
  <c r="B10" i="9" s="1"/>
  <c r="D9" i="9"/>
  <c r="C9" i="9"/>
  <c r="B9" i="9"/>
  <c r="D8" i="9"/>
  <c r="C8" i="9"/>
  <c r="B8" i="9"/>
  <c r="D7" i="9"/>
  <c r="C7" i="9"/>
  <c r="B7" i="9" s="1"/>
  <c r="D6" i="9"/>
  <c r="C6" i="9"/>
  <c r="D5" i="9"/>
  <c r="C5" i="9"/>
  <c r="B5" i="9"/>
  <c r="F4" i="9"/>
  <c r="B3" i="10" s="1"/>
  <c r="D4" i="9"/>
  <c r="C4" i="9"/>
  <c r="B4" i="9" s="1"/>
  <c r="N3" i="8"/>
  <c r="N4" i="8"/>
  <c r="N5" i="8"/>
  <c r="Q19" i="9" l="1"/>
  <c r="D18" i="10" s="1"/>
  <c r="Q10" i="9"/>
  <c r="D9" i="10" s="1"/>
  <c r="Q18" i="9"/>
  <c r="D17" i="10" s="1"/>
  <c r="Q9" i="9"/>
  <c r="D8" i="10" s="1"/>
  <c r="Q11" i="9"/>
  <c r="D10" i="10" s="1"/>
  <c r="Q12" i="9"/>
  <c r="D11" i="10" s="1"/>
  <c r="Q13" i="9"/>
  <c r="D12" i="10" s="1"/>
  <c r="K4" i="9"/>
  <c r="F9" i="9"/>
  <c r="B8" i="10" s="1"/>
  <c r="J4" i="9"/>
  <c r="Q8" i="9"/>
  <c r="D7" i="10" s="1"/>
  <c r="F7" i="9"/>
  <c r="B6" i="10" s="1"/>
  <c r="F6" i="9"/>
  <c r="B5" i="10" s="1"/>
  <c r="F5" i="9"/>
  <c r="B4" i="10" s="1"/>
  <c r="F8" i="9"/>
  <c r="B7" i="10" s="1"/>
  <c r="B6" i="9"/>
  <c r="G10" i="9"/>
  <c r="C9" i="10" s="1"/>
  <c r="C18" i="7"/>
  <c r="W4" i="5"/>
  <c r="W3" i="5" s="1"/>
  <c r="R4" i="5"/>
  <c r="R3" i="5" s="1"/>
  <c r="S4" i="5"/>
  <c r="S3" i="5" s="1"/>
  <c r="T4" i="5"/>
  <c r="T3" i="5" s="1"/>
  <c r="U4" i="5"/>
  <c r="U3" i="5" s="1"/>
  <c r="V4" i="5"/>
  <c r="V3" i="5" s="1"/>
  <c r="Q4" i="5"/>
  <c r="Q3" i="5" s="1"/>
  <c r="P4" i="5"/>
  <c r="P3" i="5" s="1"/>
  <c r="G4" i="5"/>
  <c r="G3" i="5" s="1"/>
  <c r="H4" i="5"/>
  <c r="H3" i="5" s="1"/>
  <c r="I4" i="5"/>
  <c r="I3" i="5" s="1"/>
  <c r="J4" i="5"/>
  <c r="J3" i="5" s="1"/>
  <c r="K4" i="5"/>
  <c r="K3" i="5" s="1"/>
  <c r="L4" i="5"/>
  <c r="L3" i="5" s="1"/>
  <c r="M4" i="5"/>
  <c r="M3" i="5" s="1"/>
  <c r="E3" i="7" s="1"/>
  <c r="N4" i="5"/>
  <c r="N3" i="5" s="1"/>
  <c r="O4" i="5"/>
  <c r="O3" i="5" s="1"/>
  <c r="F4" i="5"/>
  <c r="F3" i="5" s="1"/>
  <c r="D4" i="5"/>
  <c r="D3" i="5" s="1"/>
  <c r="C4" i="5"/>
  <c r="C3" i="5" s="1"/>
  <c r="B4" i="5"/>
  <c r="B3" i="5" s="1"/>
  <c r="I3" i="6"/>
  <c r="I4" i="6"/>
  <c r="H4" i="7" l="1"/>
  <c r="H3" i="7"/>
  <c r="J9" i="9"/>
  <c r="J6" i="9"/>
  <c r="K9" i="9"/>
  <c r="K8" i="9"/>
  <c r="K5" i="9"/>
  <c r="J7" i="9"/>
  <c r="K6" i="9"/>
  <c r="J8" i="9"/>
  <c r="F10" i="9"/>
  <c r="B9" i="10" s="1"/>
  <c r="J5" i="9"/>
  <c r="K7" i="9"/>
  <c r="C3" i="7"/>
  <c r="C4" i="7"/>
  <c r="E4" i="7"/>
  <c r="D4" i="7"/>
  <c r="D3" i="7"/>
  <c r="G4" i="7"/>
  <c r="G3" i="7"/>
  <c r="F3" i="7" s="1"/>
  <c r="C5" i="7"/>
  <c r="C6" i="7"/>
  <c r="C7" i="7"/>
  <c r="C8" i="7"/>
  <c r="H6" i="7"/>
  <c r="H7" i="7"/>
  <c r="H8" i="7"/>
  <c r="H5" i="7"/>
  <c r="G6" i="7"/>
  <c r="G7" i="7"/>
  <c r="G8" i="7"/>
  <c r="G9" i="7"/>
  <c r="G10" i="7"/>
  <c r="G11" i="7"/>
  <c r="G12" i="7"/>
  <c r="G13" i="7"/>
  <c r="D6" i="7"/>
  <c r="D7" i="7"/>
  <c r="D5" i="7"/>
  <c r="E6" i="7"/>
  <c r="E7" i="7"/>
  <c r="E8" i="7"/>
  <c r="E9" i="7"/>
  <c r="E10" i="7"/>
  <c r="E11" i="7"/>
  <c r="E12" i="7"/>
  <c r="E13" i="7"/>
  <c r="E5" i="7"/>
  <c r="G5" i="7"/>
  <c r="K15" i="10" l="1"/>
  <c r="N15" i="10" s="1"/>
  <c r="L15" i="10"/>
  <c r="O15" i="10" s="1"/>
  <c r="L14" i="10"/>
  <c r="O14" i="10" s="1"/>
  <c r="L12" i="10"/>
  <c r="O12" i="10" s="1"/>
  <c r="K16" i="10"/>
  <c r="N16" i="10" s="1"/>
  <c r="L13" i="10"/>
  <c r="O13" i="10" s="1"/>
  <c r="K14" i="10"/>
  <c r="N14" i="10" s="1"/>
  <c r="K12" i="10"/>
  <c r="N12" i="10" s="1"/>
  <c r="L16" i="10"/>
  <c r="O16" i="10" s="1"/>
  <c r="K13" i="10"/>
  <c r="N13" i="10" s="1"/>
  <c r="K10" i="10"/>
  <c r="N10" i="10" s="1"/>
  <c r="K11" i="10"/>
  <c r="N11" i="10" s="1"/>
  <c r="L10" i="10"/>
  <c r="O10" i="10" s="1"/>
  <c r="L11" i="10"/>
  <c r="O11" i="10" s="1"/>
  <c r="L17" i="10"/>
  <c r="O17" i="10" s="1"/>
  <c r="K18" i="10"/>
  <c r="N18" i="10" s="1"/>
  <c r="L18" i="10"/>
  <c r="O18" i="10" s="1"/>
  <c r="K17" i="10"/>
  <c r="N17" i="10" s="1"/>
  <c r="F4" i="7"/>
  <c r="B4" i="7"/>
  <c r="K10" i="9"/>
  <c r="M4" i="9" s="1"/>
  <c r="J10" i="9"/>
  <c r="L4" i="9" s="1"/>
  <c r="B3" i="7"/>
  <c r="F6" i="7"/>
  <c r="F7" i="7"/>
  <c r="F5" i="7"/>
  <c r="B7" i="7"/>
  <c r="B6" i="7"/>
  <c r="F8" i="7"/>
  <c r="B8" i="7"/>
  <c r="B5" i="7"/>
  <c r="AA17" i="5"/>
  <c r="Z17" i="5"/>
  <c r="Y17" i="5"/>
  <c r="C18" i="5"/>
  <c r="AD17" i="5"/>
  <c r="N17" i="5" s="1"/>
  <c r="U17" i="5" s="1"/>
  <c r="T17" i="5"/>
  <c r="S17" i="5"/>
  <c r="R17" i="5"/>
  <c r="M17" i="5"/>
  <c r="O17" i="5"/>
  <c r="K17" i="5"/>
  <c r="J17" i="5"/>
  <c r="I17" i="5"/>
  <c r="H17" i="5"/>
  <c r="G17" i="5"/>
  <c r="D18" i="7" s="1"/>
  <c r="F17" i="5"/>
  <c r="E17" i="5"/>
  <c r="X18" i="5"/>
  <c r="AA16" i="5"/>
  <c r="Z16" i="5"/>
  <c r="Y16" i="5"/>
  <c r="B18" i="5"/>
  <c r="E16" i="5"/>
  <c r="AD16" i="5"/>
  <c r="N16" i="5" s="1"/>
  <c r="U16" i="5" s="1"/>
  <c r="M16" i="5"/>
  <c r="K16" i="5"/>
  <c r="I16" i="5"/>
  <c r="J16" i="5"/>
  <c r="H16" i="5"/>
  <c r="G16" i="5"/>
  <c r="O16" i="5"/>
  <c r="S16" i="5"/>
  <c r="T16" i="5"/>
  <c r="G16" i="7" s="1"/>
  <c r="R16" i="5"/>
  <c r="Q16" i="5"/>
  <c r="F16" i="5"/>
  <c r="D18" i="5"/>
  <c r="AA15" i="5"/>
  <c r="X15" i="5" s="1"/>
  <c r="D16" i="5"/>
  <c r="D17" i="5"/>
  <c r="C16" i="5"/>
  <c r="AD15" i="5"/>
  <c r="N15" i="5" s="1"/>
  <c r="M15" i="5"/>
  <c r="E15" i="7" s="1"/>
  <c r="K15" i="5"/>
  <c r="J15" i="5"/>
  <c r="I15" i="5"/>
  <c r="H15" i="5"/>
  <c r="G15" i="5"/>
  <c r="O15" i="5"/>
  <c r="T15" i="5"/>
  <c r="S15" i="5"/>
  <c r="R15" i="5"/>
  <c r="Q15" i="5"/>
  <c r="F15" i="5"/>
  <c r="E15" i="5"/>
  <c r="C17" i="5"/>
  <c r="E18" i="5"/>
  <c r="X6" i="5"/>
  <c r="X7" i="5"/>
  <c r="X8" i="5"/>
  <c r="X9" i="5"/>
  <c r="X10" i="5"/>
  <c r="X11" i="5"/>
  <c r="X12" i="5"/>
  <c r="X13" i="5"/>
  <c r="X14" i="5"/>
  <c r="B17" i="5"/>
  <c r="B16" i="5"/>
  <c r="B15" i="5"/>
  <c r="E14" i="5"/>
  <c r="AD14" i="5"/>
  <c r="N14" i="5" s="1"/>
  <c r="M14" i="5"/>
  <c r="E14" i="7" s="1"/>
  <c r="L14" i="5"/>
  <c r="K14" i="5"/>
  <c r="I14" i="5"/>
  <c r="J14" i="5"/>
  <c r="H14" i="5"/>
  <c r="G14" i="5"/>
  <c r="O14" i="5"/>
  <c r="T14" i="5"/>
  <c r="S14" i="5"/>
  <c r="R14" i="5"/>
  <c r="Q14" i="5"/>
  <c r="F14" i="5"/>
  <c r="H12" i="9" l="1"/>
  <c r="H11" i="10" s="1"/>
  <c r="H14" i="9"/>
  <c r="H13" i="10" s="1"/>
  <c r="J13" i="10" s="1"/>
  <c r="H11" i="9"/>
  <c r="H10" i="10" s="1"/>
  <c r="H13" i="9"/>
  <c r="H12" i="10" s="1"/>
  <c r="J12" i="10" s="1"/>
  <c r="H15" i="9"/>
  <c r="H14" i="10" s="1"/>
  <c r="J14" i="10" s="1"/>
  <c r="H16" i="9"/>
  <c r="H15" i="10" s="1"/>
  <c r="J15" i="10" s="1"/>
  <c r="H17" i="9"/>
  <c r="H16" i="10" s="1"/>
  <c r="J16" i="10" s="1"/>
  <c r="G15" i="9"/>
  <c r="C14" i="10" s="1"/>
  <c r="G13" i="9"/>
  <c r="C12" i="10" s="1"/>
  <c r="G12" i="9"/>
  <c r="C11" i="10" s="1"/>
  <c r="G14" i="9"/>
  <c r="C13" i="10" s="1"/>
  <c r="G16" i="9"/>
  <c r="C15" i="10" s="1"/>
  <c r="G17" i="9"/>
  <c r="C16" i="10" s="1"/>
  <c r="G11" i="9"/>
  <c r="C10" i="10" s="1"/>
  <c r="C14" i="7"/>
  <c r="B14" i="7" s="1"/>
  <c r="C15" i="7"/>
  <c r="G17" i="7"/>
  <c r="G18" i="7"/>
  <c r="E18" i="7"/>
  <c r="D14" i="7"/>
  <c r="D15" i="7"/>
  <c r="B15" i="7" s="1"/>
  <c r="B18" i="7"/>
  <c r="Q17" i="5"/>
  <c r="H17" i="7" s="1"/>
  <c r="F17" i="7" s="1"/>
  <c r="D16" i="7"/>
  <c r="H14" i="7"/>
  <c r="C17" i="7"/>
  <c r="C16" i="7"/>
  <c r="H16" i="7"/>
  <c r="F16" i="7"/>
  <c r="G15" i="7"/>
  <c r="D17" i="7"/>
  <c r="X16" i="5"/>
  <c r="G14" i="7"/>
  <c r="E16" i="7"/>
  <c r="E17" i="7"/>
  <c r="X17" i="5"/>
  <c r="U14" i="5"/>
  <c r="U15" i="5"/>
  <c r="H15" i="7" s="1"/>
  <c r="N13" i="5"/>
  <c r="C13" i="7" s="1"/>
  <c r="U12" i="5"/>
  <c r="H12" i="7" s="1"/>
  <c r="F12" i="7" s="1"/>
  <c r="U13" i="5"/>
  <c r="H13" i="7" s="1"/>
  <c r="F13" i="7" s="1"/>
  <c r="U9" i="5"/>
  <c r="N10" i="5"/>
  <c r="C10" i="7" s="1"/>
  <c r="N11" i="5"/>
  <c r="C11" i="7" s="1"/>
  <c r="N12" i="5"/>
  <c r="C12" i="7" s="1"/>
  <c r="N9" i="5"/>
  <c r="C9" i="7" s="1"/>
  <c r="AC5" i="5"/>
  <c r="AC6" i="5"/>
  <c r="AC8" i="5"/>
  <c r="AC7" i="5"/>
  <c r="H18" i="7" l="1"/>
  <c r="F18" i="7" s="1"/>
  <c r="J9" i="10"/>
  <c r="J10" i="10"/>
  <c r="J5" i="10"/>
  <c r="J7" i="10"/>
  <c r="J8" i="10"/>
  <c r="J6" i="10"/>
  <c r="J11" i="10"/>
  <c r="B16" i="7"/>
  <c r="F14" i="7"/>
  <c r="F15" i="7"/>
  <c r="B17" i="7"/>
  <c r="D11" i="7"/>
  <c r="U10" i="5"/>
  <c r="H10" i="7" s="1"/>
  <c r="F10" i="7" s="1"/>
  <c r="D10" i="7"/>
  <c r="U11" i="5"/>
  <c r="H11" i="7" s="1"/>
  <c r="F11" i="7" s="1"/>
  <c r="D9" i="7"/>
  <c r="D13" i="7"/>
  <c r="D12" i="7"/>
  <c r="Q9" i="5"/>
  <c r="H9" i="7" s="1"/>
  <c r="F9" i="7" s="1"/>
  <c r="B9" i="7" l="1"/>
  <c r="B11" i="7"/>
  <c r="B13" i="7"/>
  <c r="B10" i="7"/>
  <c r="B12" i="7"/>
  <c r="W7" i="5"/>
  <c r="W8" i="5"/>
  <c r="Q14" i="1" l="1"/>
  <c r="Q13" i="1"/>
  <c r="Q12" i="1"/>
  <c r="Q11" i="1"/>
  <c r="Q10" i="1"/>
  <c r="Q2" i="1"/>
  <c r="Q3" i="1"/>
  <c r="Q4" i="1"/>
  <c r="Q5" i="1"/>
  <c r="Q6" i="1"/>
  <c r="Q7" i="1"/>
  <c r="Q8" i="1"/>
  <c r="Q9" i="1"/>
  <c r="J9" i="1"/>
  <c r="G9" i="10"/>
  <c r="G10" i="10"/>
  <c r="G11" i="10"/>
  <c r="G12" i="10"/>
  <c r="Q7" i="9" l="1"/>
  <c r="D6" i="10" s="1"/>
  <c r="Q17" i="9"/>
  <c r="D16" i="10" s="1"/>
  <c r="Q15" i="9" l="1"/>
  <c r="D14" i="10" s="1"/>
  <c r="Q5" i="9"/>
  <c r="Q16" i="9"/>
  <c r="D15" i="10" s="1"/>
  <c r="Q14" i="9"/>
  <c r="D13" i="10" s="1"/>
  <c r="Q6" i="9"/>
  <c r="D5" i="10" s="1"/>
  <c r="H18" i="9"/>
  <c r="H17" i="10" s="1"/>
  <c r="J17" i="10" s="1"/>
  <c r="G18" i="9"/>
  <c r="C17" i="10" s="1"/>
  <c r="Q4" i="9" l="1"/>
  <c r="D3" i="10" s="1"/>
  <c r="D4" i="10"/>
  <c r="B18" i="9"/>
  <c r="G19" i="9"/>
  <c r="C18" i="10" s="1"/>
  <c r="H19" i="9"/>
  <c r="H18" i="10" s="1"/>
  <c r="J18" i="10" s="1"/>
  <c r="B19" i="9" l="1"/>
  <c r="J4" i="10"/>
  <c r="J3" i="10"/>
  <c r="G4" i="10" l="1"/>
  <c r="G3" i="10"/>
  <c r="G6" i="10" l="1"/>
  <c r="G7" i="10"/>
  <c r="G5" i="10"/>
  <c r="G8" i="10"/>
  <c r="F17" i="10" l="1"/>
  <c r="G17" i="10" s="1"/>
  <c r="F18" i="10" l="1"/>
  <c r="G18" i="10" s="1"/>
  <c r="F14" i="10" l="1"/>
  <c r="G14" i="10" s="1"/>
  <c r="F13" i="10"/>
  <c r="G13" i="10" s="1"/>
  <c r="F15" i="10"/>
  <c r="G15" i="10" s="1"/>
  <c r="F16" i="10"/>
  <c r="G16" i="10" s="1"/>
</calcChain>
</file>

<file path=xl/sharedStrings.xml><?xml version="1.0" encoding="utf-8"?>
<sst xmlns="http://schemas.openxmlformats.org/spreadsheetml/2006/main" count="275" uniqueCount="240">
  <si>
    <t>Total CSG</t>
  </si>
  <si>
    <t>Revenus d'activité</t>
  </si>
  <si>
    <t>Revenus remplacement</t>
  </si>
  <si>
    <t>Revenus du capital</t>
  </si>
  <si>
    <t xml:space="preserve">  dont patrimoine</t>
  </si>
  <si>
    <t xml:space="preserve">  dont placement</t>
  </si>
  <si>
    <t>Majorations/pénalités</t>
  </si>
  <si>
    <t>Jeux</t>
  </si>
  <si>
    <t>(patrimoine = essentiellement RF + PV = prélevé via déclaration IR; placement: tout le reste = prélevé par banques; dividendes transféré de patrimoine vers placement en 2008-2009; à reprendre avec Rapports CCSS, FSV, CPO)</t>
  </si>
  <si>
    <t>ce cas il est précisé que le "secteur privé" inclut les "salariés des entreprises du secteur privé, les personnels de maison et les non titulaires des fonctions publiques".</t>
  </si>
  <si>
    <t>Total CSG hors majorations /pénalités /jeux</t>
  </si>
  <si>
    <t xml:space="preserve">  dont secteur privé</t>
  </si>
  <si>
    <t>Sources</t>
  </si>
  <si>
    <t>Notes:</t>
  </si>
  <si>
    <t>Année</t>
  </si>
  <si>
    <t>Chaque rapport présente les résultats pour l'année n-1 et les prévisions pour l'année n et n+1.</t>
  </si>
  <si>
    <t>Rapport CCSS, juin 2009 (p.39)</t>
  </si>
  <si>
    <t>Rapport CCSS, septembre 2008 (p.43)</t>
  </si>
  <si>
    <t>Rapport CCSS, septembre 2007 (p.43)</t>
  </si>
  <si>
    <t>Rapport CCSS, octobre 2009 (p.51)</t>
  </si>
  <si>
    <t>Rapport CCSS, septembre 2010 (Tab. 1, p.43)</t>
  </si>
  <si>
    <t>Rapport CCSS, septembre 2011 (Tab. 1, p.39)</t>
  </si>
  <si>
    <t>Rapport CCSS, septembre 2006 (Tab 1, p.47)</t>
  </si>
  <si>
    <t>Rapport CCSS, septembre 2005 (Tab 1, p.45)</t>
  </si>
  <si>
    <t>Rapport CCSS, septembre 2004 (Tab 1, p.47)</t>
  </si>
  <si>
    <t>Rapport CCSS, septembre 2003 (p.31)</t>
  </si>
  <si>
    <t xml:space="preserve">  dont non-salariés</t>
  </si>
  <si>
    <t xml:space="preserve">  dont fonctionnaires et CNRACL</t>
  </si>
  <si>
    <t xml:space="preserve">  dont régimes spéciaux</t>
  </si>
  <si>
    <t xml:space="preserve">  dont autres régimes</t>
  </si>
  <si>
    <t>Rapport CCSS, septembre 2002 (p.73)</t>
  </si>
  <si>
    <t>DOM</t>
  </si>
  <si>
    <t>Divers</t>
  </si>
  <si>
    <t>Rapport CCSS, septembre 2000 (p.30)</t>
  </si>
  <si>
    <t>Rapport CCSS, septembre 1998 (p.153)</t>
  </si>
  <si>
    <t>Les Comptes de la Sécurité Sociale publiés par la Commission des Comptes de la Sécurité Sociale (CCSS) n'indiquent pas la décomposition complète des revenus d'activité; seule la composante "secteur privé" est parfois indiquée; dans</t>
  </si>
  <si>
    <t>Pour 1997 et 1998, le total est hors DOM; il semble que les recettes CSG soient uniquement les recettes affectées.</t>
  </si>
  <si>
    <t xml:space="preserve">     </t>
  </si>
  <si>
    <t>Citer cette source:</t>
  </si>
  <si>
    <t>I. Contributions sociales</t>
  </si>
  <si>
    <t>Contacts:</t>
  </si>
  <si>
    <t>II. Cotisations de Sécurité sociale</t>
  </si>
  <si>
    <t>Recettes cotisations sociales et CSG</t>
  </si>
  <si>
    <t>Recettes de la CSG (source CCSS)</t>
  </si>
  <si>
    <t>Recettes de la CSG (source FSV)</t>
  </si>
  <si>
    <t xml:space="preserve">  dont majorations/pénalités</t>
  </si>
  <si>
    <t>Patrimoine</t>
  </si>
  <si>
    <t xml:space="preserve">Placement </t>
  </si>
  <si>
    <t>Indépendants</t>
  </si>
  <si>
    <t xml:space="preserve">Régimes spéciaux </t>
  </si>
  <si>
    <t>Employés de maison</t>
  </si>
  <si>
    <t>p58 explication des recettes du FSV</t>
  </si>
  <si>
    <t>dont Retraités</t>
  </si>
  <si>
    <t>dont Préretraités</t>
  </si>
  <si>
    <t>dont Chômage</t>
  </si>
  <si>
    <t>Rapport d'activité du FSV 2009, p.68 et p.73</t>
  </si>
  <si>
    <t>Rapport d'activité du FSV 2010 annexe, p. 39, p.42 et p. 43</t>
  </si>
  <si>
    <t>Total revenu Replacement</t>
  </si>
  <si>
    <t>dont Non-titulaires administrations</t>
  </si>
  <si>
    <t>dont Titulaires administrations</t>
  </si>
  <si>
    <t>dont Non-titulaires collectivités locales</t>
  </si>
  <si>
    <t>dont Titulaires collectivités locales</t>
  </si>
  <si>
    <t>dont Militaires</t>
  </si>
  <si>
    <t>Total Activité</t>
  </si>
  <si>
    <t xml:space="preserve">  Secteur privé</t>
  </si>
  <si>
    <t>Secteur public</t>
  </si>
  <si>
    <t>Régime général</t>
  </si>
  <si>
    <t>Régime spéciaux</t>
  </si>
  <si>
    <t>Rapport d'activité du FSV 2008, p.70 et p.76</t>
  </si>
  <si>
    <t>Rapport d'activité du FSV 2007, p.63 et p.68</t>
  </si>
  <si>
    <t>Rapport d'activité du FSV 2005, p.58 et p.64</t>
  </si>
  <si>
    <t>Rapport d'activité du FSV 2003, p.52 et p.57</t>
  </si>
  <si>
    <t>Rapport d'activité du FSV 2002, p.54 et p.50</t>
  </si>
  <si>
    <t>Rapport d'activité du FSV 2004, p.54 et p.59 et p.50</t>
  </si>
  <si>
    <t>Rapport d'activité du FSV 2006, p.59 et p.64 et p.52</t>
  </si>
  <si>
    <t>Taux de CSG affecté au FSV par catégorie de revenus</t>
  </si>
  <si>
    <t>Revenus salariaux (Activité)</t>
  </si>
  <si>
    <t>Revenus non salariaux (Activité)</t>
  </si>
  <si>
    <t>Retraites et préretraites (Remplacement)</t>
  </si>
  <si>
    <t>Allocations chômages (Remplacement)</t>
  </si>
  <si>
    <t>Patrimoine et Placement</t>
  </si>
  <si>
    <t>Rapport CCSS, septembre 2004 t.1 (Tab 1, p.46)</t>
  </si>
  <si>
    <t>Rapport CCSS, septembre 2003 p.30</t>
  </si>
  <si>
    <t>Rapport CCSS, septembre 1997  p.48</t>
  </si>
  <si>
    <t>Rapport d'activité du FSV 2010 Annexe, p. 37</t>
  </si>
  <si>
    <t>Mémo : abattement revenus</t>
  </si>
  <si>
    <t>Total salaires bruts</t>
  </si>
  <si>
    <t>Revenus non-salariés</t>
  </si>
  <si>
    <t>Revenu de remplacement</t>
  </si>
  <si>
    <t>Calcul : part régime spéciaux activité dans régime spéciaux</t>
  </si>
  <si>
    <t>régime spéciaux activité + retraite</t>
  </si>
  <si>
    <t>moyenne : 71%</t>
  </si>
  <si>
    <t>estimé</t>
  </si>
  <si>
    <t>A partir de 2006, on ne dispose plus de données désagrégés sur les revenus d'activités et de remplacement. On suppose donc que la part des revenus d'activités dans les régimes spéciaux est constante de 2006 à 2002 et égale à la moyenne de cette part de 2010 à 2007.</t>
  </si>
  <si>
    <t>Total activité et remplacement</t>
  </si>
  <si>
    <t>Revenu Activité URSAFF</t>
  </si>
  <si>
    <t>revenu replacement URSAFF</t>
  </si>
  <si>
    <t>Accoss (URSAFF + compte central)</t>
  </si>
  <si>
    <t>Compte Central</t>
  </si>
  <si>
    <t>Total compte central</t>
  </si>
  <si>
    <t>dont secteur agricole</t>
  </si>
  <si>
    <t>Le FSV tire ses recettes de la CSG sur le trésor (placements, jeux et patrimoine) et des revenus d'activités et de remplacement. La CSG sur les revenus d'activités et de remplacement est fourni par l'ACOSS par l'intermédiaire de deux filières : l'URSAFF et le compte central.</t>
  </si>
  <si>
    <t>Rapport d'activité du FSV 2001, p.46</t>
  </si>
  <si>
    <t>URSAFF</t>
  </si>
  <si>
    <t>Total URSAFF</t>
  </si>
  <si>
    <t>Trésor</t>
  </si>
  <si>
    <t>Total trésor</t>
  </si>
  <si>
    <t>Rapport d'activité du FSV 2000, p.38 et p.41</t>
  </si>
  <si>
    <t>Rapport d'activité du FSV 2001, p.36</t>
  </si>
  <si>
    <t>Rapport d'activité du FSV 2001, p.31 et p.34</t>
  </si>
  <si>
    <t>dont chômage</t>
  </si>
  <si>
    <t>dont retraites</t>
  </si>
  <si>
    <t>L'ensemble des recettes issues de "compte central" sauf MSA sont considérés comme des revenus de remplacement (retraite)</t>
  </si>
  <si>
    <t>Dans le compte central, 60% des recettes provenant de la MSA sont des revenus de remplacement (retraite), 20% des revenus non salariés et 20% des revenus salariés (privé)</t>
  </si>
  <si>
    <t>Le secteur privé inclut la moitié des régimes spéciaux, les employés de maisons et les salariés agricoles</t>
  </si>
  <si>
    <t>Les régimes spéciaux sont composés à 50%-50% de revenus publics et privés</t>
  </si>
  <si>
    <t>Le secteur public inclut les titulaires et les non-titulaires et la moitié des régimes spéciaux</t>
  </si>
  <si>
    <t>Pour obtenir les revenus bruts, on divise par (1-abattement), les revenus des salariés et les allocations chômages</t>
  </si>
  <si>
    <t>Calcul des assiettes de CSG</t>
  </si>
  <si>
    <t>Taux de prélèvement de CSG du FSV</t>
  </si>
  <si>
    <t>Assiette des revenus bruts soumis à CSG</t>
  </si>
  <si>
    <t>Notes explicatives :</t>
  </si>
  <si>
    <t>dont secteur privé</t>
  </si>
  <si>
    <t>dont secteur public</t>
  </si>
  <si>
    <t>2° du IV de l'art. L136-8 du CSS</t>
  </si>
  <si>
    <t>Pour l'instant, pas de changement de la législation pour 2012. Mais à vérifier dans l'article indiqué ci-dessous.</t>
  </si>
  <si>
    <t>Notes</t>
  </si>
  <si>
    <t>On fait la moyenne des taux d'abattement pour les revenus inférieurs à 4PSS et pour ceux supérieur à 4PSS.</t>
  </si>
  <si>
    <t>Nous ne faisons pas de prévisions pour ces cases car elles ne sont pas utiles pour calculer les masses de la feuille "Calcul_assietteCSG".</t>
  </si>
  <si>
    <t>Dans les cases avec l'écriture rouge, les montants sont  estimés en appliquant la croissance des recettes CSG indiquées dans les rapports CCSS. Ceci revient seulement à faire l'hypothèse d'une répartition stable entre les différentes catégories de revenus de remplacement et de revenu d'activité (car les taux de prélèvement et les taux de CSG ne changent pas sur la période 2010-2012.</t>
  </si>
  <si>
    <t>Les cases en rouge sont des estimations. Pour voir la méthode de ces estimations,  cf. les feuilles de calcul où se trouvent les cellules qui servent aux calculs des présentes cellules en rouges.</t>
  </si>
  <si>
    <t>PLFSS 2012, Annexe 5, Tab. 2, p. 255</t>
  </si>
  <si>
    <t>PLFSS 2011, Annexe 5, Tab. 1, p. 211</t>
  </si>
  <si>
    <t>Exo Fillon</t>
  </si>
  <si>
    <t>Exo AF</t>
  </si>
  <si>
    <t>PLFSS 2010, Annexe 5, Tab. 1, p. 196</t>
  </si>
  <si>
    <t>Robien</t>
  </si>
  <si>
    <t>Aubry I</t>
  </si>
  <si>
    <t>PLFSS 2009, Annexe 5, Tab. 1, p. 176</t>
  </si>
  <si>
    <t xml:space="preserve">Heures sup. </t>
  </si>
  <si>
    <t>Total</t>
  </si>
  <si>
    <t>Maladie</t>
  </si>
  <si>
    <t>Vieillesse</t>
  </si>
  <si>
    <t>Acc. Travail</t>
  </si>
  <si>
    <t>Famille</t>
  </si>
  <si>
    <t>PLFSS 2008, Annexe 5, Tab. 1, p. 176</t>
  </si>
  <si>
    <t>Tableau 1 : Recettes CSG (en milliard d'euros)</t>
  </si>
  <si>
    <t>Tableau 2 : Assiette CSG (en milliard d'euros)</t>
  </si>
  <si>
    <t>Tableau 3 : Part des revenus de patrimoine et de placement dans les revenus du capital</t>
  </si>
  <si>
    <t>Tableau 4 : calcul des montants nets de revenus fonciers (en milliards)</t>
  </si>
  <si>
    <t>Sur revenus patrimoine et placement</t>
  </si>
  <si>
    <t>Sur revenus patrimoine</t>
  </si>
  <si>
    <t>Sur revenus placement</t>
  </si>
  <si>
    <t>Revenus patrimoine et placement</t>
  </si>
  <si>
    <t>Revenus patrimoine</t>
  </si>
  <si>
    <t>Revenus placement</t>
  </si>
  <si>
    <t>Part des revenus de patrimoine dans les revenus de capital</t>
  </si>
  <si>
    <t>Part des revenus de placement dans les revenus de capital</t>
  </si>
  <si>
    <t>Part moyenne des revenus de patrimoine dans les revenus de capital</t>
  </si>
  <si>
    <t>Part moyenne des revenus de placement dans les revenus de capital</t>
  </si>
  <si>
    <t>Régime normal</t>
  </si>
  <si>
    <t>Micro foncier</t>
  </si>
  <si>
    <t xml:space="preserve">Total </t>
  </si>
  <si>
    <t>Décomposition des revenus du capital (revenus fonciers et revenus financiers) imposés au titre de la CSG</t>
  </si>
  <si>
    <t>(milliards d'euros courants)</t>
  </si>
  <si>
    <t>dont Revenus fonciers IRPP</t>
  </si>
  <si>
    <t>dont Revenus financiers IRPP barème (sauf div.2008)</t>
  </si>
  <si>
    <t xml:space="preserve">dont  Plus-values IRPP </t>
  </si>
  <si>
    <t>dont résidu (décalage comptable)</t>
  </si>
  <si>
    <t>dont Revenus financiers PFL (plus div.2008)</t>
  </si>
  <si>
    <t>dont Revenus AV imposés (estim.) (résidu)</t>
  </si>
  <si>
    <t>dont Revenus PEL-CEL imposés (estim.)</t>
  </si>
  <si>
    <t>dont Revenus PEA imposés (estim.)</t>
  </si>
  <si>
    <t>Memo: Intérêts liverts exonérés (estim.)</t>
  </si>
  <si>
    <t>Memo: intérêts PEL-CEL</t>
  </si>
  <si>
    <t>Memo: div. PEA</t>
  </si>
  <si>
    <r>
      <rPr>
        <b/>
        <sz val="11"/>
        <rFont val="Calibri"/>
        <family val="2"/>
        <scheme val="minor"/>
      </rPr>
      <t>Source 2 :</t>
    </r>
    <r>
      <rPr>
        <sz val="11"/>
        <rFont val="Calibri"/>
        <family val="2"/>
        <scheme val="minor"/>
      </rPr>
      <t xml:space="preserve"> Rapports CCSS. Exemple : pour les chiffres de 2008 et 2009, cf. rapport CCSS de septembre 2010, p43. Pour l'année 2010, le rapport CCSS de septembre 2010 ne fournit que des prévisions.</t>
    </r>
  </si>
  <si>
    <r>
      <rPr>
        <b/>
        <sz val="11"/>
        <rFont val="Calibri"/>
        <family val="2"/>
        <scheme val="minor"/>
      </rPr>
      <t>Source :</t>
    </r>
    <r>
      <rPr>
        <sz val="11"/>
        <rFont val="Calibri"/>
        <family val="2"/>
        <scheme val="minor"/>
      </rPr>
      <t xml:space="preserve"> dénombrement et législation.</t>
    </r>
  </si>
  <si>
    <r>
      <rPr>
        <b/>
        <sz val="11"/>
        <rFont val="Calibri"/>
        <family val="2"/>
        <scheme val="minor"/>
      </rPr>
      <t xml:space="preserve">Source 2 : </t>
    </r>
    <r>
      <rPr>
        <sz val="11"/>
        <color theme="1"/>
        <rFont val="Calibri"/>
        <family val="2"/>
        <scheme val="minor"/>
      </rPr>
      <t>Tableau 2 ci-contre.</t>
    </r>
  </si>
  <si>
    <r>
      <rPr>
        <b/>
        <sz val="11"/>
        <rFont val="Calibri"/>
        <family val="2"/>
        <scheme val="minor"/>
      </rPr>
      <t xml:space="preserve">NB : </t>
    </r>
    <r>
      <rPr>
        <sz val="11"/>
        <rFont val="Calibri"/>
        <family val="2"/>
        <scheme val="minor"/>
      </rPr>
      <t>pour les années 1997 et 1998, les rapports CCSS ne fournissent pas les recettes CSG par catégorie de revenus.  Donc, on ne peut pas en déduire les assiettes. Du coup, on pondère par la croissance des revenus du capital indiquée dans la comptabilité nationale.</t>
    </r>
  </si>
  <si>
    <r>
      <rPr>
        <b/>
        <sz val="11"/>
        <rFont val="Calibri"/>
        <family val="2"/>
        <scheme val="minor"/>
      </rPr>
      <t>Note :</t>
    </r>
    <r>
      <rPr>
        <sz val="11"/>
        <rFont val="Calibri"/>
        <family val="2"/>
        <scheme val="minor"/>
      </rPr>
      <t xml:space="preserve"> on calcule les revenus fonciers nets car la base CSG sur les revenus du patrimoine correspond aux revenus nets tels qu'ils sont pris en compte pour l'établissement de l'impôt sur le revenu.</t>
    </r>
  </si>
  <si>
    <r>
      <rPr>
        <b/>
        <sz val="11"/>
        <rFont val="Calibri"/>
        <family val="2"/>
        <scheme val="minor"/>
      </rPr>
      <t>NB :</t>
    </r>
    <r>
      <rPr>
        <sz val="11"/>
        <rFont val="Calibri"/>
        <family val="2"/>
        <scheme val="minor"/>
      </rPr>
      <t xml:space="preserve"> on fait cette pondération non pas sur les recettes CSG mais sur les assiettes CSG (mêmes si celles-ci sont à la base estimées par nous-même alors que les recettes sont tirées des rapports CCSS) car le montant des recettes est dépendant des variations des taux de CSG.</t>
    </r>
  </si>
  <si>
    <r>
      <rPr>
        <b/>
        <sz val="11"/>
        <rFont val="Calibri"/>
        <family val="2"/>
        <scheme val="minor"/>
      </rPr>
      <t xml:space="preserve">Note : </t>
    </r>
    <r>
      <rPr>
        <sz val="11"/>
        <rFont val="Calibri"/>
        <family val="2"/>
        <scheme val="minor"/>
      </rPr>
      <t>les revenus fonciers de 2012 sont estimés à partir de la croissance estimée de la masse des revenus fonciers de la comptabilité nationale.</t>
    </r>
  </si>
  <si>
    <r>
      <rPr>
        <b/>
        <sz val="11"/>
        <rFont val="Calibri"/>
        <family val="2"/>
        <scheme val="minor"/>
      </rPr>
      <t>NB :</t>
    </r>
    <r>
      <rPr>
        <sz val="11"/>
        <rFont val="Calibri"/>
        <family val="2"/>
        <scheme val="minor"/>
      </rPr>
      <t xml:space="preserve"> les recettes CSG des années 2011 et 2012 sont des prévisions que donnent le rapport CCSS de septembre 2011.</t>
    </r>
  </si>
  <si>
    <r>
      <rPr>
        <b/>
        <sz val="11"/>
        <rFont val="Calibri"/>
        <family val="2"/>
        <scheme val="minor"/>
      </rPr>
      <t>Note 1:</t>
    </r>
    <r>
      <rPr>
        <sz val="11"/>
        <rFont val="Calibri"/>
        <family val="2"/>
        <scheme val="minor"/>
      </rPr>
      <t xml:space="preserve"> L'assiette CSG dite "revenus du patrimoine" correspond à la CSG prélevée en année n à partir des revenus de patrimoines de l'année n-1 figurant dans les déclarations de revenus: revenus fonciers, dividendes et intérêts imposés au barème, et plus-values. </t>
    </r>
  </si>
  <si>
    <r>
      <rPr>
        <b/>
        <sz val="11"/>
        <rFont val="Calibri"/>
        <family val="2"/>
        <scheme val="minor"/>
      </rPr>
      <t>Note 2 :</t>
    </r>
    <r>
      <rPr>
        <sz val="11"/>
        <rFont val="Calibri"/>
        <family val="2"/>
        <scheme val="minor"/>
      </rPr>
      <t xml:space="preserve"> L'assiette CSG dire "revenus de placement" correspond à la la CSG prélevée à la source (i.e. via les intermédiaires financiers) en année n sur les revenus de placements financiers de l'année n: dividendes et intérêts imposés au PFL, et autres revenus financiers non imposables au titre de l'IRPP (ni au barème ni au PFL) mais imposables au titre de la CSG (revenus des contrats AV et bons de capitalisation, revenus des PEA et PEL-CEL). Depuis le 1/1/2008, la CSG est prélevée à la source sur tous les dividendes (qu'ils soient soumis au barème ou au PFL), qui sont donc passés de l'assiette "CSG patrimoine" à l'assiette "CSG placement" (en 2008, à titre transitoire, la CSG a été prélevée deux fois sur les dividendes: une fois sur les dividendes de 2007 au titre de la CSG patrimoine - et une fois sur les dividendes de 2008 au titre de la CSG placement). </t>
    </r>
  </si>
  <si>
    <t>Assiette CSG "patrimoine" (via déclar. IRPP)</t>
  </si>
  <si>
    <t>Assiette CSG "placement" (via interm. financiers)</t>
  </si>
  <si>
    <r>
      <t xml:space="preserve">Total Assiette CSG Revenus du capital </t>
    </r>
    <r>
      <rPr>
        <sz val="11"/>
        <rFont val="Calibri"/>
        <family val="2"/>
        <scheme val="minor"/>
      </rPr>
      <t>("patrimoine" et "placement")</t>
    </r>
  </si>
  <si>
    <r>
      <rPr>
        <b/>
        <sz val="11"/>
        <rFont val="Calibri"/>
        <family val="2"/>
        <scheme val="minor"/>
      </rPr>
      <t>Note 2 :</t>
    </r>
    <r>
      <rPr>
        <sz val="11"/>
        <rFont val="Calibri"/>
        <family val="2"/>
        <scheme val="minor"/>
      </rPr>
      <t xml:space="preserve"> pour le calcul des revenus PEA soumis à la CSG, même méthodologie que ci-dessus. Le montant de la version 0.0 était à 3 pour toutes les années.</t>
    </r>
  </si>
  <si>
    <r>
      <rPr>
        <b/>
        <sz val="11"/>
        <rFont val="Calibri"/>
        <family val="2"/>
        <scheme val="minor"/>
      </rPr>
      <t xml:space="preserve">Note 3 : </t>
    </r>
    <r>
      <rPr>
        <sz val="11"/>
        <rFont val="Calibri"/>
        <family val="2"/>
        <scheme val="minor"/>
      </rPr>
      <t>Pour le calcul des intérêts des livrets exonérés, on se base sur le Rapport CPO 2009 (p.210) qui nous donne les valeurs pour 2006 et 2007. Pour les autres années, on pondère par la croissance des intérêts de l'épargne que nous donne la comptabilité nationale.</t>
    </r>
  </si>
  <si>
    <r>
      <rPr>
        <b/>
        <sz val="11"/>
        <rFont val="Calibri"/>
        <family val="2"/>
        <scheme val="minor"/>
      </rPr>
      <t>Note 5 :</t>
    </r>
    <r>
      <rPr>
        <sz val="11"/>
        <rFont val="Calibri"/>
        <family val="2"/>
        <scheme val="minor"/>
      </rPr>
      <t xml:space="preserve"> Pour l'estimation des revenus totaux de PEA, même méthode que ci-dessus.</t>
    </r>
  </si>
  <si>
    <t>Pour les cellules écrite en bleu, nous avons appliqué la même technique évoquée ci-dessus pour la zone rouge. La seule différence est que de 1997 à 1998, les taux de CSG ont changé. Du coup, la part des recettes CSG du FSV dans les recettes CSG totales a changé. Ce changement a été pris en compte.</t>
  </si>
  <si>
    <t>Ce document présente les dénombrements de recettes des cotisations sociales et des contributions sociales (CSG, CRDS) tels que présentés dans les différents rapports d'activité des comptes sociaux (Comptes de la Sécurité Sociale, rapport du FSV, etc.) ainsi qu'une estimation des assiettes de CSG par catégories de revenus obtenue à partir de ces dénombrements.</t>
  </si>
  <si>
    <t>Assiettes de revenus de capitaux soumis à la CSG</t>
  </si>
  <si>
    <t>Calculs pour obtenir les assiettes de revenus de capitaux soumis à la CSG</t>
  </si>
  <si>
    <r>
      <rPr>
        <b/>
        <sz val="11"/>
        <rFont val="Calibri"/>
        <family val="2"/>
        <scheme val="minor"/>
      </rPr>
      <t xml:space="preserve">Source : </t>
    </r>
    <r>
      <rPr>
        <sz val="11"/>
        <rFont val="Calibri"/>
        <family val="2"/>
        <scheme val="minor"/>
      </rPr>
      <t>Calculs à partir du tableau 1, des taux de CSG  et de la comptabilité nationale (pour la somme des revenus du capital des années 1997 et 1998)</t>
    </r>
  </si>
  <si>
    <r>
      <rPr>
        <b/>
        <sz val="11"/>
        <rFont val="Calibri"/>
        <family val="2"/>
        <scheme val="minor"/>
      </rPr>
      <t xml:space="preserve">NB : </t>
    </r>
    <r>
      <rPr>
        <sz val="11"/>
        <rFont val="Calibri"/>
        <family val="2"/>
        <scheme val="minor"/>
      </rPr>
      <t>pour estimer l'assiette CSG des années 1999 à 2005, on ne dispose que de la somme des recettes CSG sur les revenus de patrimoine et de placement. Donc, pour en déduire l'assiette CSG, on prend la moyenne des taux CSG sur les revenus de patrimoine et sur les revenus de placement.</t>
    </r>
  </si>
  <si>
    <t xml:space="preserve"> PLFSS 2006, Annexe 5, Tab. 1, p. 74</t>
  </si>
  <si>
    <t xml:space="preserve"> PLFSS 2007, Annexe 5, Tab. 1, p. 125</t>
  </si>
  <si>
    <t>Allègements généraux (millions)</t>
  </si>
  <si>
    <t>CSERC, L'allègement des charges sociales sur les bas salaires, p. 19.</t>
  </si>
  <si>
    <t>Allègements généraux
(milliards)</t>
  </si>
  <si>
    <t>Réduction régressive</t>
  </si>
  <si>
    <t>Aubry II</t>
  </si>
  <si>
    <t>Rapport CCSS sept 2004, tome 1, Tab 1, p. 99</t>
  </si>
  <si>
    <t>Rapport CCSS sept 2002, tome 1, p. 111.</t>
  </si>
  <si>
    <t>Estimation approximative basée sur CCSS 2002, p111</t>
  </si>
  <si>
    <r>
      <rPr>
        <b/>
        <sz val="11"/>
        <rFont val="Calibri"/>
        <family val="2"/>
        <scheme val="minor"/>
      </rPr>
      <t>NB :</t>
    </r>
    <r>
      <rPr>
        <sz val="11"/>
        <rFont val="Calibri"/>
        <family val="2"/>
        <scheme val="minor"/>
      </rPr>
      <t xml:space="preserve"> Pour 1997 et 1998, nous ne connaissons pas les recettes de CSG au titre des revenus de capitaux. On estime directement l'assiette dans le tableau 2 et on estime les recettes CSG à partir de ces assiettes estimées.</t>
    </r>
  </si>
  <si>
    <t>annee</t>
  </si>
  <si>
    <t>recettes_csg</t>
  </si>
  <si>
    <t>recettes_csg_patr</t>
  </si>
  <si>
    <t>recettes_csg_plac</t>
  </si>
  <si>
    <t>Salaire brut</t>
  </si>
  <si>
    <t>Primes</t>
  </si>
  <si>
    <t>Taux de primes</t>
  </si>
  <si>
    <t>Traitement brut</t>
  </si>
  <si>
    <t xml:space="preserve">Rapport DGAFP </t>
  </si>
  <si>
    <t>Composition de la rémunération dans la FP</t>
  </si>
  <si>
    <t>Exonérations généralisées de charges sociales sur les bas salaires</t>
  </si>
  <si>
    <t>CSG</t>
  </si>
  <si>
    <t>CRDS</t>
  </si>
  <si>
    <t>Note:</t>
  </si>
  <si>
    <t>En millions d'euros (ou de FRF)</t>
  </si>
  <si>
    <t>Sources:</t>
  </si>
  <si>
    <t>Projets de loi de finances, Voies et moyens</t>
  </si>
  <si>
    <t>Recettes de la CSG et de la CRDS (Voies et moyens)</t>
  </si>
  <si>
    <t>Recettes fiscales</t>
  </si>
  <si>
    <t>Assiette estimée</t>
  </si>
  <si>
    <t>Part des revenus d'activité dans les recettes CSG*</t>
  </si>
  <si>
    <t>Part des revenus de remplacement dans les recettes CSG*</t>
  </si>
  <si>
    <t>Part des revenus du capital dans les recettes CSG*</t>
  </si>
  <si>
    <t>* Ces calculs ont été fait un peu vite pour consruire les taux glogaux d'imposition du travail et du capital indiqué à la feuille 20a du fichier compta nat. Ce chiffre devrait aussi comprendre la CRDS. Dans la version 0.0, il a été construit autrement.</t>
  </si>
  <si>
    <t>Ci contre, même tableau ci-contre, mais en inversant l'ordre des années (pratique pour faire glisser les formules dans le fichier compta nat : ok, ce n'est pas propre. Mais, on n'avait pas bcp de tps.</t>
  </si>
  <si>
    <r>
      <rPr>
        <b/>
        <sz val="11"/>
        <rFont val="Calibri"/>
        <family val="2"/>
        <scheme val="minor"/>
      </rPr>
      <t>Note 4 :</t>
    </r>
    <r>
      <rPr>
        <sz val="11"/>
        <rFont val="Calibri"/>
        <family val="2"/>
        <scheme val="minor"/>
      </rPr>
      <t xml:space="preserve"> pour l'estimation des revenus totaux des PEL-CEL, on prend la part de 2006 de la base revenus PEL-CEL soumis à CSG dans les revenus totaux de PEL-CEL (qui est en fait toujours issue des valeurs de la version 0.0 : cf. cf. P:\TAXIPP\TAXIPP 0.0\Donnees\DonneesFiscales.xls, feuille "CSG3"). On applique cette part pour toutes les années.</t>
    </r>
  </si>
  <si>
    <r>
      <rPr>
        <b/>
        <sz val="11"/>
        <rFont val="Calibri"/>
        <family val="2"/>
        <scheme val="minor"/>
      </rPr>
      <t>Note 1 :</t>
    </r>
    <r>
      <rPr>
        <sz val="11"/>
        <rFont val="Calibri"/>
        <family val="2"/>
        <scheme val="minor"/>
      </rPr>
      <t xml:space="preserve"> Pour l'estimation des revenus PEL-CEL imposés à la CSG, on se base sur les données de la versions v0.0. Dans la version 0.0, ce montant est toujours égal à 6 (cf. P:\TAXIPP\TAXIPP 0.0\Donnees\DonneesFiscales.xls, feuille "CSG3"). Nous ne savons pas comment il a été obtenu. Nous n'avons pas trouvé d'autres sources permettant d'avoir ces montants. Nous avons supposé que la valeur 6 était correcte pour 2006 (car c'est l'année de référence de la version 0.0). Nous en déduisons la part des revenus PEL-CEL soumis à CSG dans l'assiette totale (des revenus de placement quand on les a directement dans les rapports CCSS ou sinon des revenus du capital en général). On applique cette part pour toutes les autres années. Notons que la part utilisée pour ces extrapolations auraient due être calculée totalement avec les données de la version 0.0. Le chiffre 6 aurait dû être rapporté aux assiettes estimées dans la version 0.0 (pour garder une cohérence dans la part). Ceci dit, le montant des assiettes pour 2006 que nous avons ici est le même que dans la version 0.0 car il s'agit des chiffres tirés des rapports CCSS.</t>
    </r>
  </si>
  <si>
    <t>Antoine Bozio, antoine.bozio@ipp.eu</t>
  </si>
  <si>
    <t>Brice Fabre, brice.fabre@ipp.eu</t>
  </si>
  <si>
    <t>Jonathan Goupille, jonathan.goupille@ipp.eu</t>
  </si>
  <si>
    <r>
      <rPr>
        <i/>
        <sz val="11"/>
        <color theme="1"/>
        <rFont val="Calibri"/>
        <family val="2"/>
        <scheme val="minor"/>
      </rPr>
      <t>Aggrégats de l'IPP - prélèvements sociaux</t>
    </r>
    <r>
      <rPr>
        <sz val="11"/>
        <color theme="1"/>
        <rFont val="Calibri"/>
        <family val="2"/>
        <scheme val="minor"/>
      </rPr>
      <t>, Institut des politiques publiques, Janvier 2012.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</si>
</sst>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0"/>
    <numFmt numFmtId="165" formatCode="#,##0.000"/>
    <numFmt numFmtId="166" formatCode="0.000000"/>
    <numFmt numFmtId="167" formatCode="\$#,##0\ ;\(\$#,##0\)"/>
    <numFmt numFmtId="168" formatCode="0.0"/>
    <numFmt numFmtId="169" formatCode="#,##0\ [$FRF]"/>
    <numFmt numFmtId="170" formatCode="_-* #,##0\ _€_-;\-* #,##0\ _€_-;_-* &quot;-&quot;??\ _€_-;_-@_-"/>
    <numFmt numFmtId="171" formatCode="#,##0\ &quot;€&quot;"/>
    <numFmt numFmtId="172" formatCode="0.0%"/>
  </numFmts>
  <fonts count="34" x14ac:knownFonts="1">
    <font>
      <sz val="11"/>
      <color theme="1"/>
      <name val="Calibri"/>
      <family val="2"/>
      <scheme val="minor"/>
    </font>
    <font>
      <sz val="10"/>
      <name val="Arial"/>
      <family val="2"/>
    </font>
    <font>
      <sz val="11"/>
      <name val="Calibri"/>
      <family val="2"/>
      <scheme val="minor"/>
    </font>
    <font>
      <b/>
      <sz val="11"/>
      <name val="Calibri"/>
      <family val="2"/>
      <scheme val="minor"/>
    </font>
    <font>
      <u/>
      <sz val="11"/>
      <name val="Calibri"/>
      <family val="2"/>
      <scheme val="minor"/>
    </font>
    <font>
      <b/>
      <sz val="11"/>
      <color theme="1"/>
      <name val="Calibri"/>
      <family val="2"/>
      <scheme val="minor"/>
    </font>
    <font>
      <b/>
      <sz val="12"/>
      <color theme="8" tint="-0.249977111117893"/>
      <name val="Calibri"/>
      <family val="2"/>
      <scheme val="minor"/>
    </font>
    <font>
      <u/>
      <sz val="11"/>
      <color theme="10"/>
      <name val="Calibri"/>
      <family val="2"/>
    </font>
    <font>
      <u/>
      <sz val="11"/>
      <color theme="8" tint="-0.249977111117893"/>
      <name val="Calibri"/>
      <family val="2"/>
      <scheme val="minor"/>
    </font>
    <font>
      <i/>
      <sz val="11"/>
      <color theme="1"/>
      <name val="Calibri"/>
      <family val="2"/>
      <scheme val="minor"/>
    </font>
    <font>
      <sz val="10"/>
      <name val="Arial"/>
      <family val="2"/>
    </font>
    <font>
      <sz val="11"/>
      <color rgb="FFFF0000"/>
      <name val="Calibri"/>
      <family val="2"/>
      <scheme val="minor"/>
    </font>
    <font>
      <i/>
      <sz val="10"/>
      <name val="Calibri"/>
      <family val="2"/>
      <scheme val="minor"/>
    </font>
    <font>
      <sz val="11"/>
      <color rgb="FFC00000"/>
      <name val="Calibri"/>
      <family val="2"/>
      <scheme val="minor"/>
    </font>
    <font>
      <u/>
      <sz val="11"/>
      <color rgb="FFC00000"/>
      <name val="Calibri"/>
      <family val="2"/>
      <scheme val="minor"/>
    </font>
    <font>
      <i/>
      <sz val="11"/>
      <name val="Calibri"/>
      <family val="2"/>
      <scheme val="minor"/>
    </font>
    <font>
      <b/>
      <sz val="11"/>
      <color theme="1"/>
      <name val="Arial"/>
      <family val="2"/>
    </font>
    <font>
      <b/>
      <sz val="10"/>
      <color theme="1"/>
      <name val="Arial"/>
      <family val="2"/>
    </font>
    <font>
      <b/>
      <sz val="10"/>
      <name val="Arial"/>
      <family val="2"/>
    </font>
    <font>
      <i/>
      <sz val="9"/>
      <name val="Calibri"/>
      <family val="2"/>
      <scheme val="minor"/>
    </font>
    <font>
      <i/>
      <sz val="9"/>
      <name val="Arial"/>
      <family val="2"/>
    </font>
    <font>
      <i/>
      <sz val="9"/>
      <color theme="1"/>
      <name val="Arial"/>
      <family val="2"/>
    </font>
    <font>
      <u/>
      <sz val="11"/>
      <color theme="1"/>
      <name val="Calibri"/>
      <family val="2"/>
      <scheme val="minor"/>
    </font>
    <font>
      <i/>
      <sz val="10"/>
      <color rgb="FF92D050"/>
      <name val="Calibri"/>
      <family val="2"/>
      <scheme val="minor"/>
    </font>
    <font>
      <sz val="11"/>
      <color rgb="FF92D050"/>
      <name val="Calibri"/>
      <family val="2"/>
      <scheme val="minor"/>
    </font>
    <font>
      <sz val="11"/>
      <color theme="9" tint="-0.249977111117893"/>
      <name val="Calibri"/>
      <family val="2"/>
      <scheme val="minor"/>
    </font>
    <font>
      <sz val="11"/>
      <color rgb="FF0070C0"/>
      <name val="Calibri"/>
      <family val="2"/>
      <scheme val="minor"/>
    </font>
    <font>
      <sz val="10"/>
      <name val="MS Sans Serif"/>
      <family val="2"/>
    </font>
    <font>
      <sz val="12"/>
      <color indexed="24"/>
      <name val="Arial"/>
      <family val="2"/>
    </font>
    <font>
      <b/>
      <sz val="8"/>
      <color indexed="24"/>
      <name val="Times New Roman"/>
      <family val="1"/>
    </font>
    <font>
      <sz val="8"/>
      <color indexed="24"/>
      <name val="Times New Roman"/>
      <family val="1"/>
    </font>
    <font>
      <sz val="7"/>
      <name val="Helvetica"/>
    </font>
    <font>
      <sz val="11"/>
      <color theme="1"/>
      <name val="Calibri"/>
      <family val="2"/>
      <scheme val="minor"/>
    </font>
    <font>
      <b/>
      <sz val="11"/>
      <color rgb="FFFF0000"/>
      <name val="Calibri"/>
      <family val="2"/>
      <scheme val="minor"/>
    </font>
  </fonts>
  <fills count="10">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rgb="FF92D050"/>
        <bgColor indexed="64"/>
      </patternFill>
    </fill>
    <fill>
      <patternFill patternType="solid">
        <fgColor rgb="FFFF0000"/>
        <bgColor indexed="64"/>
      </patternFill>
    </fill>
    <fill>
      <patternFill patternType="solid">
        <fgColor rgb="FF0070C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C000"/>
        <bgColor indexed="64"/>
      </patternFill>
    </fill>
  </fills>
  <borders count="4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ck">
        <color indexed="64"/>
      </left>
      <right/>
      <top/>
      <bottom style="thin">
        <color indexed="64"/>
      </bottom>
      <diagonal/>
    </border>
    <border>
      <left/>
      <right style="thick">
        <color indexed="64"/>
      </right>
      <top style="medium">
        <color indexed="64"/>
      </top>
      <bottom style="medium">
        <color indexed="64"/>
      </bottom>
      <diagonal/>
    </border>
  </borders>
  <cellStyleXfs count="15">
    <xf numFmtId="0" fontId="0" fillId="0" borderId="0"/>
    <xf numFmtId="0" fontId="1" fillId="0" borderId="0"/>
    <xf numFmtId="0" fontId="7" fillId="0" borderId="0" applyNumberFormat="0" applyFill="0" applyBorder="0" applyAlignment="0" applyProtection="0">
      <alignment vertical="top"/>
      <protection locked="0"/>
    </xf>
    <xf numFmtId="0" fontId="10" fillId="0" borderId="0"/>
    <xf numFmtId="0" fontId="27" fillId="0" borderId="0"/>
    <xf numFmtId="0" fontId="28"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3" fontId="28" fillId="0" borderId="0" applyFont="0" applyFill="0" applyBorder="0" applyAlignment="0" applyProtection="0"/>
    <xf numFmtId="167" fontId="28" fillId="0" borderId="0" applyFont="0" applyFill="0" applyBorder="0" applyAlignment="0" applyProtection="0"/>
    <xf numFmtId="0" fontId="1" fillId="0" borderId="0"/>
    <xf numFmtId="0" fontId="31" fillId="0" borderId="4">
      <alignment horizontal="center"/>
    </xf>
    <xf numFmtId="2" fontId="28" fillId="0" borderId="0" applyFont="0" applyFill="0" applyBorder="0" applyAlignment="0" applyProtection="0"/>
    <xf numFmtId="43" fontId="32" fillId="0" borderId="0" applyFont="0" applyFill="0" applyBorder="0" applyAlignment="0" applyProtection="0"/>
    <xf numFmtId="9" fontId="32" fillId="0" borderId="0" applyFont="0" applyFill="0" applyBorder="0" applyAlignment="0" applyProtection="0"/>
  </cellStyleXfs>
  <cellXfs count="304">
    <xf numFmtId="0" fontId="0" fillId="0" borderId="0" xfId="0"/>
    <xf numFmtId="0" fontId="2" fillId="0" borderId="0" xfId="1" applyFont="1"/>
    <xf numFmtId="0" fontId="2" fillId="3" borderId="0" xfId="1" applyFont="1" applyFill="1" applyAlignment="1">
      <alignment horizontal="center" vertical="center" wrapText="1"/>
    </xf>
    <xf numFmtId="0" fontId="3" fillId="3" borderId="0" xfId="1" applyFont="1" applyFill="1" applyAlignment="1">
      <alignment horizontal="center" vertical="center" wrapText="1"/>
    </xf>
    <xf numFmtId="0" fontId="4" fillId="0" borderId="0" xfId="1" applyFont="1"/>
    <xf numFmtId="0" fontId="2" fillId="2" borderId="0" xfId="1" applyFont="1" applyFill="1" applyBorder="1" applyAlignment="1">
      <alignment horizontal="center"/>
    </xf>
    <xf numFmtId="164" fontId="2" fillId="0" borderId="0" xfId="1" applyNumberFormat="1" applyFont="1" applyAlignment="1">
      <alignment horizontal="center"/>
    </xf>
    <xf numFmtId="164" fontId="2" fillId="0" borderId="0" xfId="1" applyNumberFormat="1" applyFont="1" applyAlignment="1">
      <alignment horizontal="center" vertical="center"/>
    </xf>
    <xf numFmtId="0" fontId="2" fillId="0" borderId="0" xfId="1" applyFont="1" applyFill="1"/>
    <xf numFmtId="0" fontId="6" fillId="0" borderId="0" xfId="0" applyFont="1"/>
    <xf numFmtId="0" fontId="7" fillId="0" borderId="0" xfId="2" applyAlignment="1" applyProtection="1"/>
    <xf numFmtId="0" fontId="5" fillId="0" borderId="0" xfId="0" applyFont="1"/>
    <xf numFmtId="0" fontId="0" fillId="2" borderId="0" xfId="0" applyFill="1" applyBorder="1"/>
    <xf numFmtId="164" fontId="2" fillId="0" borderId="0" xfId="1" applyNumberFormat="1" applyFont="1" applyFill="1" applyAlignment="1">
      <alignment horizontal="center" vertical="center" wrapText="1"/>
    </xf>
    <xf numFmtId="0" fontId="0" fillId="0" borderId="0" xfId="0" applyAlignment="1">
      <alignment horizontal="center" vertical="center"/>
    </xf>
    <xf numFmtId="164" fontId="2" fillId="0" borderId="0" xfId="1" applyNumberFormat="1" applyFont="1" applyFill="1" applyAlignment="1">
      <alignment horizontal="center" vertical="center"/>
    </xf>
    <xf numFmtId="165" fontId="2" fillId="0" borderId="0" xfId="1" applyNumberFormat="1" applyFont="1" applyAlignment="1">
      <alignment horizontal="center" vertical="center"/>
    </xf>
    <xf numFmtId="0" fontId="4" fillId="0" borderId="0" xfId="1" applyFont="1" applyAlignment="1">
      <alignment horizontal="center" vertical="center"/>
    </xf>
    <xf numFmtId="0" fontId="2" fillId="3" borderId="13"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0" fillId="0" borderId="12" xfId="0" applyBorder="1" applyAlignment="1">
      <alignment horizontal="center" vertical="center"/>
    </xf>
    <xf numFmtId="0" fontId="0" fillId="0" borderId="0" xfId="0" applyBorder="1" applyAlignment="1">
      <alignment horizontal="center" vertical="center"/>
    </xf>
    <xf numFmtId="164" fontId="2" fillId="0" borderId="12" xfId="1"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164" fontId="2" fillId="0" borderId="12" xfId="1" applyNumberFormat="1" applyFont="1" applyBorder="1" applyAlignment="1">
      <alignment horizontal="center" vertical="center"/>
    </xf>
    <xf numFmtId="164" fontId="2" fillId="0" borderId="0" xfId="1" applyNumberFormat="1" applyFont="1" applyBorder="1" applyAlignment="1">
      <alignment horizontal="center" vertical="center"/>
    </xf>
    <xf numFmtId="165" fontId="2" fillId="0" borderId="12" xfId="1" applyNumberFormat="1" applyFont="1" applyBorder="1" applyAlignment="1">
      <alignment horizontal="center" vertical="center"/>
    </xf>
    <xf numFmtId="165" fontId="2" fillId="0" borderId="0" xfId="1" applyNumberFormat="1" applyFont="1" applyBorder="1" applyAlignment="1">
      <alignment horizontal="center" vertical="center"/>
    </xf>
    <xf numFmtId="164" fontId="2" fillId="0" borderId="15" xfId="1" applyNumberFormat="1" applyFont="1" applyFill="1" applyBorder="1" applyAlignment="1">
      <alignment horizontal="center" vertical="center" wrapText="1"/>
    </xf>
    <xf numFmtId="0" fontId="3" fillId="3" borderId="17" xfId="1" applyFont="1" applyFill="1" applyBorder="1" applyAlignment="1">
      <alignment horizontal="center" vertical="center" wrapText="1"/>
    </xf>
    <xf numFmtId="0" fontId="0" fillId="0" borderId="18" xfId="0" applyBorder="1" applyAlignment="1">
      <alignment horizontal="center" vertical="center"/>
    </xf>
    <xf numFmtId="164" fontId="2" fillId="0" borderId="18" xfId="1" applyNumberFormat="1" applyFont="1" applyFill="1" applyBorder="1" applyAlignment="1">
      <alignment horizontal="center" vertical="center" wrapText="1"/>
    </xf>
    <xf numFmtId="164" fontId="2" fillId="0" borderId="19" xfId="1" applyNumberFormat="1" applyFont="1" applyFill="1" applyBorder="1" applyAlignment="1">
      <alignment horizontal="center" vertical="center" wrapText="1"/>
    </xf>
    <xf numFmtId="164" fontId="0" fillId="0" borderId="0" xfId="0" applyNumberFormat="1" applyAlignment="1">
      <alignment horizontal="center" vertical="center"/>
    </xf>
    <xf numFmtId="164" fontId="0" fillId="0" borderId="12" xfId="0" applyNumberFormat="1" applyBorder="1" applyAlignment="1">
      <alignment horizontal="center" vertical="center"/>
    </xf>
    <xf numFmtId="164" fontId="0" fillId="0" borderId="0" xfId="0" applyNumberFormat="1" applyBorder="1" applyAlignment="1">
      <alignment horizontal="center" vertical="center"/>
    </xf>
    <xf numFmtId="0" fontId="3" fillId="3" borderId="0" xfId="1" applyFont="1" applyFill="1" applyAlignment="1">
      <alignment horizontal="center" vertical="center" wrapText="1"/>
    </xf>
    <xf numFmtId="10" fontId="2" fillId="0" borderId="0" xfId="1" applyNumberFormat="1" applyFont="1" applyAlignment="1">
      <alignment horizontal="center"/>
    </xf>
    <xf numFmtId="10" fontId="2" fillId="0" borderId="0" xfId="1" applyNumberFormat="1" applyFont="1" applyFill="1" applyAlignment="1">
      <alignment horizontal="center" vertical="center" wrapText="1"/>
    </xf>
    <xf numFmtId="9" fontId="0" fillId="0" borderId="0" xfId="0" applyNumberFormat="1" applyAlignment="1">
      <alignment horizontal="center" vertical="center"/>
    </xf>
    <xf numFmtId="0" fontId="2" fillId="0" borderId="0" xfId="0" applyFont="1"/>
    <xf numFmtId="0" fontId="13" fillId="0" borderId="0" xfId="0" applyFont="1"/>
    <xf numFmtId="0" fontId="14" fillId="0" borderId="0" xfId="1" applyFont="1"/>
    <xf numFmtId="0" fontId="13" fillId="0" borderId="0" xfId="1" applyFont="1"/>
    <xf numFmtId="0" fontId="12" fillId="0" borderId="0" xfId="0" applyFont="1" applyFill="1" applyAlignment="1">
      <alignment horizontal="center" vertical="center" wrapText="1"/>
    </xf>
    <xf numFmtId="9" fontId="12" fillId="0" borderId="0" xfId="0" applyNumberFormat="1" applyFont="1" applyAlignment="1">
      <alignment horizontal="center" vertical="center"/>
    </xf>
    <xf numFmtId="2" fontId="17" fillId="3" borderId="10" xfId="0" applyNumberFormat="1" applyFont="1" applyFill="1" applyBorder="1" applyAlignment="1">
      <alignment horizontal="center" vertical="center" wrapText="1"/>
    </xf>
    <xf numFmtId="0" fontId="3" fillId="0" borderId="0" xfId="1" applyFont="1" applyFill="1" applyAlignment="1">
      <alignment horizontal="center" vertical="center" wrapText="1"/>
    </xf>
    <xf numFmtId="9" fontId="0" fillId="0" borderId="0" xfId="0" applyNumberFormat="1" applyAlignment="1">
      <alignment horizontal="center"/>
    </xf>
    <xf numFmtId="0" fontId="12" fillId="0" borderId="0" xfId="1" applyFont="1" applyFill="1" applyAlignment="1">
      <alignment horizontal="center" vertical="center" wrapText="1"/>
    </xf>
    <xf numFmtId="0" fontId="19" fillId="0" borderId="0" xfId="1" applyFont="1" applyFill="1" applyAlignment="1">
      <alignment horizontal="center" vertical="center" wrapText="1"/>
    </xf>
    <xf numFmtId="0" fontId="0" fillId="0" borderId="0" xfId="0" applyAlignment="1">
      <alignment vertical="center"/>
    </xf>
    <xf numFmtId="0" fontId="11" fillId="0" borderId="0" xfId="0" applyFont="1" applyAlignment="1">
      <alignment horizontal="center" vertical="center"/>
    </xf>
    <xf numFmtId="0" fontId="3" fillId="3" borderId="13" xfId="1" applyFont="1" applyFill="1" applyBorder="1" applyAlignment="1">
      <alignment horizontal="center" vertical="center" wrapText="1"/>
    </xf>
    <xf numFmtId="0" fontId="15"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3" borderId="22" xfId="1" applyFont="1" applyFill="1" applyBorder="1" applyAlignment="1">
      <alignment horizontal="center" vertical="center" wrapText="1"/>
    </xf>
    <xf numFmtId="0" fontId="0" fillId="0" borderId="21" xfId="0" applyBorder="1" applyAlignment="1">
      <alignment horizontal="center" vertical="center"/>
    </xf>
    <xf numFmtId="164" fontId="2" fillId="0" borderId="12" xfId="1" applyNumberFormat="1" applyFont="1" applyFill="1" applyBorder="1" applyAlignment="1">
      <alignment horizontal="center" vertical="center"/>
    </xf>
    <xf numFmtId="164" fontId="2" fillId="0" borderId="0" xfId="1" applyNumberFormat="1" applyFont="1" applyFill="1" applyBorder="1" applyAlignment="1">
      <alignment horizontal="center" vertical="center"/>
    </xf>
    <xf numFmtId="164" fontId="2" fillId="0" borderId="21" xfId="1" applyNumberFormat="1" applyFont="1" applyFill="1" applyBorder="1" applyAlignment="1">
      <alignment horizontal="center" vertical="center"/>
    </xf>
    <xf numFmtId="165" fontId="2" fillId="0" borderId="21" xfId="1" applyNumberFormat="1" applyFont="1" applyBorder="1" applyAlignment="1">
      <alignment horizontal="center" vertical="center"/>
    </xf>
    <xf numFmtId="164" fontId="0" fillId="0" borderId="21" xfId="0" applyNumberFormat="1" applyBorder="1" applyAlignment="1">
      <alignment horizontal="center" vertical="center"/>
    </xf>
    <xf numFmtId="2" fontId="17" fillId="3" borderId="9" xfId="0" applyNumberFormat="1" applyFont="1" applyFill="1" applyBorder="1" applyAlignment="1">
      <alignment horizontal="center" vertical="center" wrapText="1"/>
    </xf>
    <xf numFmtId="3" fontId="2" fillId="0" borderId="12" xfId="1" applyNumberFormat="1" applyFont="1" applyBorder="1" applyAlignment="1">
      <alignment horizontal="center"/>
    </xf>
    <xf numFmtId="0" fontId="2" fillId="3" borderId="22" xfId="1" applyFont="1" applyFill="1" applyBorder="1" applyAlignment="1">
      <alignment horizontal="center" vertical="center" wrapText="1"/>
    </xf>
    <xf numFmtId="164" fontId="2" fillId="0" borderId="21" xfId="1" applyNumberFormat="1" applyFont="1" applyBorder="1" applyAlignment="1">
      <alignment horizontal="center" vertical="center"/>
    </xf>
    <xf numFmtId="165" fontId="2" fillId="0" borderId="12" xfId="1" applyNumberFormat="1" applyFont="1" applyFill="1" applyBorder="1" applyAlignment="1">
      <alignment horizontal="center" vertical="center"/>
    </xf>
    <xf numFmtId="164" fontId="13" fillId="0" borderId="21" xfId="1" applyNumberFormat="1" applyFont="1" applyBorder="1" applyAlignment="1">
      <alignment horizontal="center" vertical="center"/>
    </xf>
    <xf numFmtId="0" fontId="0" fillId="0" borderId="0" xfId="0" applyFill="1"/>
    <xf numFmtId="1" fontId="2" fillId="0" borderId="4" xfId="1" applyNumberFormat="1" applyFont="1" applyBorder="1" applyAlignment="1">
      <alignment horizontal="center"/>
    </xf>
    <xf numFmtId="0" fontId="20" fillId="3" borderId="24" xfId="1" applyFont="1" applyFill="1" applyBorder="1" applyAlignment="1">
      <alignment horizontal="center" vertical="center" wrapText="1"/>
    </xf>
    <xf numFmtId="3" fontId="2" fillId="0" borderId="26" xfId="1" applyNumberFormat="1" applyFont="1" applyBorder="1" applyAlignment="1">
      <alignment horizontal="center"/>
    </xf>
    <xf numFmtId="0" fontId="20" fillId="3" borderId="28" xfId="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3" fontId="2" fillId="0" borderId="29" xfId="1" applyNumberFormat="1" applyFont="1" applyFill="1" applyBorder="1" applyAlignment="1">
      <alignment horizontal="center" vertical="center" wrapText="1"/>
    </xf>
    <xf numFmtId="3" fontId="2" fillId="0" borderId="30" xfId="1" applyNumberFormat="1" applyFont="1" applyBorder="1" applyAlignment="1">
      <alignment horizontal="center"/>
    </xf>
    <xf numFmtId="3" fontId="2" fillId="0" borderId="26" xfId="1" applyNumberFormat="1" applyFont="1" applyFill="1" applyBorder="1" applyAlignment="1">
      <alignment horizontal="center" vertical="center" wrapText="1"/>
    </xf>
    <xf numFmtId="2" fontId="17" fillId="3" borderId="33" xfId="0" applyNumberFormat="1" applyFont="1" applyFill="1" applyBorder="1" applyAlignment="1">
      <alignment horizontal="center" vertical="center" wrapText="1"/>
    </xf>
    <xf numFmtId="2" fontId="21" fillId="3" borderId="34" xfId="0" applyNumberFormat="1" applyFont="1" applyFill="1" applyBorder="1" applyAlignment="1">
      <alignment horizontal="center" vertical="center" wrapText="1"/>
    </xf>
    <xf numFmtId="2" fontId="21" fillId="3" borderId="24" xfId="0" applyNumberFormat="1" applyFont="1" applyFill="1" applyBorder="1" applyAlignment="1">
      <alignment horizontal="center" vertical="center" wrapText="1"/>
    </xf>
    <xf numFmtId="0" fontId="22" fillId="0" borderId="0" xfId="0" applyFont="1"/>
    <xf numFmtId="10" fontId="11" fillId="0" borderId="0" xfId="1" applyNumberFormat="1" applyFont="1" applyAlignment="1">
      <alignment horizontal="center"/>
    </xf>
    <xf numFmtId="10" fontId="23" fillId="0" borderId="0" xfId="0" applyNumberFormat="1" applyFont="1" applyAlignment="1">
      <alignment horizontal="center"/>
    </xf>
    <xf numFmtId="0" fontId="24" fillId="4" borderId="0" xfId="1" applyFont="1" applyFill="1"/>
    <xf numFmtId="0" fontId="11" fillId="0" borderId="12" xfId="0" applyFont="1" applyBorder="1" applyAlignment="1">
      <alignment horizontal="center" vertical="center"/>
    </xf>
    <xf numFmtId="0" fontId="11" fillId="0" borderId="0" xfId="0" applyFont="1"/>
    <xf numFmtId="164" fontId="11" fillId="0" borderId="12" xfId="1" applyNumberFormat="1" applyFont="1" applyFill="1" applyBorder="1" applyAlignment="1">
      <alignment horizontal="center" vertical="center" wrapText="1"/>
    </xf>
    <xf numFmtId="164" fontId="11" fillId="0" borderId="0" xfId="1" applyNumberFormat="1" applyFont="1" applyFill="1" applyBorder="1" applyAlignment="1">
      <alignment horizontal="center" vertical="center" wrapText="1"/>
    </xf>
    <xf numFmtId="0" fontId="11" fillId="4" borderId="18" xfId="0" applyFont="1" applyFill="1" applyBorder="1" applyAlignment="1">
      <alignment horizontal="center" vertical="center"/>
    </xf>
    <xf numFmtId="164" fontId="11" fillId="4" borderId="18" xfId="1" applyNumberFormat="1" applyFont="1" applyFill="1" applyBorder="1" applyAlignment="1">
      <alignment horizontal="center" vertical="center" wrapText="1"/>
    </xf>
    <xf numFmtId="164" fontId="2" fillId="4" borderId="18" xfId="1" applyNumberFormat="1" applyFont="1" applyFill="1" applyBorder="1" applyAlignment="1">
      <alignment horizontal="center" vertical="center"/>
    </xf>
    <xf numFmtId="0" fontId="11" fillId="4" borderId="12" xfId="0" applyFont="1" applyFill="1" applyBorder="1" applyAlignment="1">
      <alignment horizontal="center" vertical="center"/>
    </xf>
    <xf numFmtId="0" fontId="11" fillId="4" borderId="0" xfId="0" applyFont="1" applyFill="1" applyBorder="1" applyAlignment="1">
      <alignment horizontal="center" vertical="center"/>
    </xf>
    <xf numFmtId="0" fontId="11" fillId="4" borderId="21" xfId="0" applyFont="1" applyFill="1" applyBorder="1" applyAlignment="1">
      <alignment horizontal="center" vertical="center"/>
    </xf>
    <xf numFmtId="0" fontId="4" fillId="0" borderId="0" xfId="1" applyFont="1" applyAlignment="1">
      <alignment horizontal="left" vertical="center"/>
    </xf>
    <xf numFmtId="0" fontId="2" fillId="4" borderId="0" xfId="1" applyFont="1" applyFill="1"/>
    <xf numFmtId="0" fontId="0" fillId="5" borderId="0" xfId="0" applyFill="1"/>
    <xf numFmtId="0" fontId="2" fillId="0" borderId="0" xfId="1" applyFont="1" applyFill="1" applyAlignment="1">
      <alignment horizontal="left"/>
    </xf>
    <xf numFmtId="164" fontId="25" fillId="0" borderId="0" xfId="0" applyNumberFormat="1" applyFont="1" applyBorder="1" applyAlignment="1">
      <alignment horizontal="center" vertical="center"/>
    </xf>
    <xf numFmtId="0" fontId="25" fillId="0" borderId="0" xfId="0" applyFont="1" applyAlignment="1">
      <alignment horizontal="center" vertical="center"/>
    </xf>
    <xf numFmtId="164" fontId="26" fillId="0" borderId="15" xfId="1" applyNumberFormat="1" applyFont="1" applyFill="1" applyBorder="1" applyAlignment="1">
      <alignment horizontal="center" vertical="center" wrapText="1"/>
    </xf>
    <xf numFmtId="0" fontId="0" fillId="6" borderId="0" xfId="0" applyFill="1"/>
    <xf numFmtId="164" fontId="25" fillId="4" borderId="15" xfId="0" applyNumberFormat="1" applyFont="1" applyFill="1" applyBorder="1" applyAlignment="1">
      <alignment horizontal="center" vertical="center"/>
    </xf>
    <xf numFmtId="164" fontId="25" fillId="4" borderId="16" xfId="0" applyNumberFormat="1" applyFont="1" applyFill="1" applyBorder="1" applyAlignment="1">
      <alignment horizontal="center" vertical="center"/>
    </xf>
    <xf numFmtId="164" fontId="25" fillId="4" borderId="23" xfId="0" applyNumberFormat="1" applyFont="1" applyFill="1" applyBorder="1" applyAlignment="1">
      <alignment horizontal="center" vertical="center"/>
    </xf>
    <xf numFmtId="3" fontId="11" fillId="0" borderId="31" xfId="1" applyNumberFormat="1" applyFont="1" applyBorder="1" applyAlignment="1">
      <alignment horizontal="center"/>
    </xf>
    <xf numFmtId="3" fontId="11" fillId="0" borderId="32" xfId="1" applyNumberFormat="1" applyFont="1" applyFill="1" applyBorder="1" applyAlignment="1">
      <alignment horizontal="center" vertical="center" wrapText="1"/>
    </xf>
    <xf numFmtId="3" fontId="11" fillId="0" borderId="27" xfId="1" applyNumberFormat="1" applyFont="1" applyFill="1" applyBorder="1" applyAlignment="1">
      <alignment horizontal="center" vertical="center" wrapText="1"/>
    </xf>
    <xf numFmtId="3" fontId="11" fillId="0" borderId="16" xfId="1" applyNumberFormat="1" applyFont="1" applyFill="1" applyBorder="1" applyAlignment="1">
      <alignment horizontal="center" vertical="center" wrapText="1"/>
    </xf>
    <xf numFmtId="3" fontId="11" fillId="0" borderId="15" xfId="1" applyNumberFormat="1" applyFont="1" applyBorder="1" applyAlignment="1">
      <alignment horizontal="center"/>
    </xf>
    <xf numFmtId="1" fontId="11" fillId="0" borderId="25" xfId="1" applyNumberFormat="1" applyFont="1" applyBorder="1" applyAlignment="1">
      <alignment horizontal="center"/>
    </xf>
    <xf numFmtId="3" fontId="11" fillId="0" borderId="27" xfId="1" applyNumberFormat="1" applyFont="1" applyBorder="1" applyAlignment="1">
      <alignment horizontal="center"/>
    </xf>
    <xf numFmtId="3" fontId="11" fillId="0" borderId="30" xfId="1" applyNumberFormat="1" applyFont="1" applyBorder="1" applyAlignment="1">
      <alignment horizontal="center"/>
    </xf>
    <xf numFmtId="3" fontId="11" fillId="0" borderId="29" xfId="1" applyNumberFormat="1" applyFont="1" applyFill="1" applyBorder="1" applyAlignment="1">
      <alignment horizontal="center" vertical="center" wrapText="1"/>
    </xf>
    <xf numFmtId="3" fontId="11" fillId="0" borderId="26" xfId="1" applyNumberFormat="1" applyFont="1" applyFill="1" applyBorder="1" applyAlignment="1">
      <alignment horizontal="center" vertical="center" wrapText="1"/>
    </xf>
    <xf numFmtId="3" fontId="11" fillId="0" borderId="0" xfId="1" applyNumberFormat="1" applyFont="1" applyFill="1" applyBorder="1" applyAlignment="1">
      <alignment horizontal="center" vertical="center" wrapText="1"/>
    </xf>
    <xf numFmtId="3" fontId="11" fillId="0" borderId="12" xfId="1" applyNumberFormat="1" applyFont="1" applyBorder="1" applyAlignment="1">
      <alignment horizontal="center"/>
    </xf>
    <xf numFmtId="1" fontId="11" fillId="0" borderId="4" xfId="1" applyNumberFormat="1" applyFont="1" applyBorder="1" applyAlignment="1">
      <alignment horizontal="center"/>
    </xf>
    <xf numFmtId="3" fontId="11" fillId="0" borderId="26" xfId="1" applyNumberFormat="1" applyFont="1" applyBorder="1" applyAlignment="1">
      <alignment horizontal="center"/>
    </xf>
    <xf numFmtId="1" fontId="2" fillId="2" borderId="12" xfId="1" applyNumberFormat="1" applyFont="1" applyFill="1" applyBorder="1" applyAlignment="1">
      <alignment horizontal="center"/>
    </xf>
    <xf numFmtId="1" fontId="2" fillId="2" borderId="15" xfId="1" applyNumberFormat="1" applyFont="1" applyFill="1" applyBorder="1" applyAlignment="1">
      <alignment horizontal="center"/>
    </xf>
    <xf numFmtId="0" fontId="0" fillId="0" borderId="0" xfId="0" applyAlignment="1">
      <alignment horizontal="left" vertical="center"/>
    </xf>
    <xf numFmtId="0" fontId="3" fillId="3" borderId="0" xfId="1" applyFont="1" applyFill="1" applyAlignment="1">
      <alignment horizontal="center" vertical="center" wrapText="1"/>
    </xf>
    <xf numFmtId="0" fontId="18" fillId="3" borderId="9" xfId="1" applyFont="1" applyFill="1" applyBorder="1" applyAlignment="1">
      <alignment horizontal="center" vertical="center" wrapText="1"/>
    </xf>
    <xf numFmtId="0" fontId="0" fillId="3" borderId="0" xfId="0" applyFill="1"/>
    <xf numFmtId="0" fontId="5" fillId="3" borderId="20"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0" xfId="0" applyFont="1" applyFill="1" applyBorder="1" applyAlignment="1">
      <alignment vertical="center" wrapText="1"/>
    </xf>
    <xf numFmtId="0" fontId="3" fillId="3" borderId="6" xfId="1" applyFont="1" applyFill="1" applyBorder="1" applyAlignment="1">
      <alignment horizontal="center" vertical="center" wrapText="1"/>
    </xf>
    <xf numFmtId="0" fontId="3" fillId="3" borderId="7" xfId="1" applyFont="1" applyFill="1" applyBorder="1" applyAlignment="1">
      <alignment horizontal="center" vertical="center" wrapText="1"/>
    </xf>
    <xf numFmtId="0" fontId="3" fillId="3" borderId="8" xfId="1" applyFont="1" applyFill="1" applyBorder="1" applyAlignment="1">
      <alignment horizontal="center" vertical="center" wrapText="1"/>
    </xf>
    <xf numFmtId="166" fontId="0" fillId="0" borderId="0" xfId="0" applyNumberFormat="1" applyAlignment="1">
      <alignment horizontal="center" vertical="center"/>
    </xf>
    <xf numFmtId="0" fontId="5" fillId="3" borderId="0" xfId="0" applyFont="1" applyFill="1" applyAlignment="1">
      <alignment horizontal="center"/>
    </xf>
    <xf numFmtId="0" fontId="5" fillId="3" borderId="0" xfId="0" applyFont="1" applyFill="1" applyAlignment="1">
      <alignment horizontal="center" vertical="center"/>
    </xf>
    <xf numFmtId="0" fontId="0" fillId="0" borderId="0" xfId="0" applyNumberFormat="1" applyAlignment="1">
      <alignment horizontal="center" vertical="center"/>
    </xf>
    <xf numFmtId="0" fontId="2" fillId="0" borderId="0" xfId="1" applyFont="1" applyFill="1" applyBorder="1" applyAlignment="1">
      <alignment horizontal="center"/>
    </xf>
    <xf numFmtId="0" fontId="0" fillId="0" borderId="0" xfId="0" applyNumberFormat="1" applyFill="1" applyAlignment="1">
      <alignment horizontal="center" vertical="center"/>
    </xf>
    <xf numFmtId="0" fontId="2" fillId="0" borderId="0" xfId="4" applyFont="1"/>
    <xf numFmtId="0" fontId="3" fillId="0" borderId="13" xfId="4" applyFont="1" applyBorder="1"/>
    <xf numFmtId="0" fontId="2" fillId="0" borderId="14" xfId="4" applyFont="1" applyBorder="1"/>
    <xf numFmtId="0" fontId="2" fillId="0" borderId="22" xfId="4" applyFont="1" applyBorder="1"/>
    <xf numFmtId="0" fontId="3" fillId="0" borderId="36" xfId="4" applyFont="1" applyBorder="1"/>
    <xf numFmtId="0" fontId="2" fillId="0" borderId="37" xfId="4" applyFont="1" applyBorder="1"/>
    <xf numFmtId="0" fontId="2" fillId="0" borderId="18" xfId="4" applyFont="1" applyBorder="1"/>
    <xf numFmtId="0" fontId="3" fillId="0" borderId="37" xfId="4" applyFont="1" applyBorder="1"/>
    <xf numFmtId="0" fontId="3" fillId="0" borderId="38" xfId="4" applyFont="1" applyBorder="1"/>
    <xf numFmtId="0" fontId="2" fillId="0" borderId="39" xfId="4" applyFont="1" applyBorder="1"/>
    <xf numFmtId="0" fontId="2" fillId="0" borderId="40" xfId="4" applyFont="1" applyBorder="1" applyAlignment="1">
      <alignment horizontal="center" vertical="center" wrapText="1"/>
    </xf>
    <xf numFmtId="0" fontId="2" fillId="0" borderId="41" xfId="4" applyFont="1" applyBorder="1" applyAlignment="1">
      <alignment horizontal="center" vertical="center" wrapText="1"/>
    </xf>
    <xf numFmtId="0" fontId="2" fillId="0" borderId="0" xfId="4" applyFont="1" applyAlignment="1">
      <alignment horizontal="center" vertical="center" wrapText="1"/>
    </xf>
    <xf numFmtId="0" fontId="2" fillId="0" borderId="42" xfId="4" applyFont="1" applyBorder="1" applyAlignment="1">
      <alignment horizontal="center" vertical="center" wrapText="1"/>
    </xf>
    <xf numFmtId="0" fontId="2" fillId="0" borderId="18" xfId="4" applyFont="1" applyBorder="1" applyAlignment="1">
      <alignment horizontal="center" vertical="center" wrapText="1"/>
    </xf>
    <xf numFmtId="0" fontId="2" fillId="0" borderId="0" xfId="4" applyFont="1" applyFill="1" applyBorder="1" applyAlignment="1">
      <alignment horizontal="center" vertical="center" wrapText="1"/>
    </xf>
    <xf numFmtId="0" fontId="2" fillId="0" borderId="21" xfId="4" applyFont="1" applyFill="1" applyBorder="1" applyAlignment="1">
      <alignment horizontal="center" vertical="center" wrapText="1"/>
    </xf>
    <xf numFmtId="0" fontId="2" fillId="0" borderId="12" xfId="4" applyFont="1" applyFill="1" applyBorder="1" applyAlignment="1">
      <alignment horizontal="center" vertical="center" wrapText="1"/>
    </xf>
    <xf numFmtId="1" fontId="2" fillId="0" borderId="30" xfId="4" applyNumberFormat="1" applyFont="1" applyBorder="1" applyAlignment="1">
      <alignment horizontal="center" vertical="center"/>
    </xf>
    <xf numFmtId="2" fontId="2" fillId="0" borderId="0" xfId="4" applyNumberFormat="1" applyFont="1" applyBorder="1" applyAlignment="1">
      <alignment horizontal="center" vertical="center"/>
    </xf>
    <xf numFmtId="2" fontId="2" fillId="0" borderId="21" xfId="4" applyNumberFormat="1" applyFont="1" applyBorder="1" applyAlignment="1">
      <alignment horizontal="center" vertical="center"/>
    </xf>
    <xf numFmtId="2" fontId="2" fillId="0" borderId="0" xfId="4" applyNumberFormat="1" applyFont="1" applyAlignment="1">
      <alignment horizontal="center" vertical="center"/>
    </xf>
    <xf numFmtId="2" fontId="2" fillId="0" borderId="12" xfId="4" applyNumberFormat="1" applyFont="1" applyBorder="1" applyAlignment="1">
      <alignment horizontal="center" vertical="center"/>
    </xf>
    <xf numFmtId="2" fontId="2" fillId="0" borderId="18" xfId="4" applyNumberFormat="1" applyFont="1" applyBorder="1" applyAlignment="1">
      <alignment horizontal="center" vertical="center"/>
    </xf>
    <xf numFmtId="2" fontId="2" fillId="7" borderId="12" xfId="4" applyNumberFormat="1" applyFont="1" applyFill="1" applyBorder="1" applyAlignment="1">
      <alignment horizontal="center" vertical="center"/>
    </xf>
    <xf numFmtId="2" fontId="2" fillId="7" borderId="0" xfId="4" applyNumberFormat="1" applyFont="1" applyFill="1" applyBorder="1" applyAlignment="1">
      <alignment horizontal="center" vertical="center"/>
    </xf>
    <xf numFmtId="2" fontId="11" fillId="0" borderId="21" xfId="4" applyNumberFormat="1" applyFont="1" applyBorder="1" applyAlignment="1">
      <alignment horizontal="center" vertical="center"/>
    </xf>
    <xf numFmtId="2" fontId="2" fillId="7" borderId="21" xfId="4" applyNumberFormat="1" applyFont="1" applyFill="1" applyBorder="1" applyAlignment="1">
      <alignment horizontal="center" vertical="center"/>
    </xf>
    <xf numFmtId="2" fontId="11" fillId="0" borderId="0" xfId="4" applyNumberFormat="1" applyFont="1" applyBorder="1" applyAlignment="1">
      <alignment horizontal="center" vertical="center"/>
    </xf>
    <xf numFmtId="2" fontId="11" fillId="0" borderId="12" xfId="4" applyNumberFormat="1" applyFont="1" applyBorder="1" applyAlignment="1">
      <alignment horizontal="center" vertical="center"/>
    </xf>
    <xf numFmtId="1" fontId="2" fillId="0" borderId="31" xfId="4" applyNumberFormat="1" applyFont="1" applyBorder="1" applyAlignment="1">
      <alignment horizontal="center" vertical="center"/>
    </xf>
    <xf numFmtId="2" fontId="2" fillId="7" borderId="16" xfId="4" applyNumberFormat="1" applyFont="1" applyFill="1" applyBorder="1" applyAlignment="1">
      <alignment horizontal="center" vertical="center"/>
    </xf>
    <xf numFmtId="2" fontId="2" fillId="7" borderId="23" xfId="4" applyNumberFormat="1" applyFont="1" applyFill="1" applyBorder="1" applyAlignment="1">
      <alignment horizontal="center" vertical="center"/>
    </xf>
    <xf numFmtId="2" fontId="11" fillId="0" borderId="16" xfId="4" applyNumberFormat="1" applyFont="1" applyBorder="1" applyAlignment="1">
      <alignment horizontal="center" vertical="center"/>
    </xf>
    <xf numFmtId="2" fontId="2" fillId="0" borderId="16" xfId="4" applyNumberFormat="1" applyFont="1" applyBorder="1" applyAlignment="1">
      <alignment horizontal="center" vertical="center"/>
    </xf>
    <xf numFmtId="2" fontId="2" fillId="0" borderId="23" xfId="4" applyNumberFormat="1" applyFont="1" applyBorder="1" applyAlignment="1">
      <alignment horizontal="center" vertical="center"/>
    </xf>
    <xf numFmtId="2" fontId="3" fillId="0" borderId="12" xfId="10" applyNumberFormat="1" applyFont="1" applyBorder="1" applyAlignment="1">
      <alignment horizontal="center" vertical="center" wrapText="1"/>
    </xf>
    <xf numFmtId="2" fontId="2" fillId="0" borderId="0" xfId="10" applyNumberFormat="1" applyFont="1" applyBorder="1" applyAlignment="1">
      <alignment horizontal="center" vertical="center" wrapText="1"/>
    </xf>
    <xf numFmtId="2" fontId="2" fillId="0" borderId="0" xfId="10" applyNumberFormat="1" applyFont="1" applyBorder="1" applyAlignment="1">
      <alignment horizontal="center" vertical="center"/>
    </xf>
    <xf numFmtId="2" fontId="2" fillId="0" borderId="12" xfId="10" applyNumberFormat="1" applyFont="1" applyBorder="1" applyAlignment="1">
      <alignment horizontal="center" vertical="center"/>
    </xf>
    <xf numFmtId="0" fontId="2" fillId="0" borderId="0" xfId="4" applyFont="1" applyBorder="1"/>
    <xf numFmtId="1" fontId="2" fillId="2" borderId="46" xfId="10" applyNumberFormat="1" applyFont="1" applyFill="1" applyBorder="1" applyAlignment="1">
      <alignment horizontal="center" vertical="center" wrapText="1"/>
    </xf>
    <xf numFmtId="0" fontId="3" fillId="3" borderId="17" xfId="10" applyFont="1" applyFill="1" applyBorder="1" applyAlignment="1">
      <alignment horizontal="center" vertical="center" wrapText="1"/>
    </xf>
    <xf numFmtId="0" fontId="2" fillId="3" borderId="9" xfId="10" applyFont="1" applyFill="1" applyBorder="1" applyAlignment="1">
      <alignment horizontal="center" vertical="center" wrapText="1"/>
    </xf>
    <xf numFmtId="0" fontId="2" fillId="3" borderId="10" xfId="10" applyFont="1" applyFill="1" applyBorder="1" applyAlignment="1">
      <alignment horizontal="center" vertical="center" wrapText="1"/>
    </xf>
    <xf numFmtId="0" fontId="2" fillId="3" borderId="11" xfId="10" applyFont="1" applyFill="1" applyBorder="1" applyAlignment="1">
      <alignment horizontal="center" vertical="center" wrapText="1"/>
    </xf>
    <xf numFmtId="0" fontId="2" fillId="3" borderId="48" xfId="10" applyFont="1" applyFill="1" applyBorder="1" applyAlignment="1">
      <alignment horizontal="center" vertical="center" wrapText="1"/>
    </xf>
    <xf numFmtId="0" fontId="2" fillId="0" borderId="0" xfId="4" applyFont="1" applyAlignment="1">
      <alignment horizontal="left" vertical="center" wrapText="1"/>
    </xf>
    <xf numFmtId="0" fontId="2" fillId="0" borderId="0" xfId="4" applyFont="1" applyFill="1" applyBorder="1" applyAlignment="1">
      <alignment horizontal="left" vertical="center" wrapText="1"/>
    </xf>
    <xf numFmtId="0" fontId="3" fillId="3" borderId="47" xfId="10" applyFont="1" applyFill="1" applyBorder="1" applyAlignment="1">
      <alignment horizontal="center" vertical="center" wrapText="1"/>
    </xf>
    <xf numFmtId="0" fontId="0" fillId="2" borderId="0" xfId="0" applyFont="1" applyFill="1" applyBorder="1"/>
    <xf numFmtId="0" fontId="8"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8" fillId="2" borderId="4" xfId="0" applyFont="1" applyFill="1" applyBorder="1"/>
    <xf numFmtId="0" fontId="0" fillId="2" borderId="4" xfId="0" applyFont="1" applyFill="1" applyBorder="1"/>
    <xf numFmtId="0" fontId="0" fillId="2" borderId="6" xfId="0" applyFill="1" applyBorder="1"/>
    <xf numFmtId="0" fontId="0" fillId="2" borderId="7" xfId="0" applyFill="1" applyBorder="1"/>
    <xf numFmtId="0" fontId="0" fillId="2" borderId="8" xfId="0" applyFill="1" applyBorder="1"/>
    <xf numFmtId="0" fontId="0" fillId="0" borderId="0" xfId="0" applyFill="1" applyBorder="1"/>
    <xf numFmtId="2" fontId="3" fillId="0" borderId="13" xfId="10" applyNumberFormat="1" applyFont="1" applyBorder="1" applyAlignment="1">
      <alignment horizontal="center" vertical="center" wrapText="1"/>
    </xf>
    <xf numFmtId="2" fontId="2" fillId="0" borderId="14" xfId="10" applyNumberFormat="1" applyFont="1" applyBorder="1" applyAlignment="1">
      <alignment horizontal="center" vertical="center" wrapText="1"/>
    </xf>
    <xf numFmtId="2" fontId="2" fillId="0" borderId="14" xfId="10" applyNumberFormat="1" applyFont="1" applyBorder="1" applyAlignment="1">
      <alignment horizontal="center" vertical="center"/>
    </xf>
    <xf numFmtId="2" fontId="2" fillId="0" borderId="22" xfId="10" applyNumberFormat="1" applyFont="1" applyBorder="1" applyAlignment="1">
      <alignment horizontal="center" vertical="center"/>
    </xf>
    <xf numFmtId="2" fontId="2" fillId="0" borderId="21" xfId="10" applyNumberFormat="1" applyFont="1" applyBorder="1" applyAlignment="1">
      <alignment horizontal="center" vertical="center"/>
    </xf>
    <xf numFmtId="164" fontId="11" fillId="0" borderId="21" xfId="1" applyNumberFormat="1" applyFont="1" applyFill="1" applyBorder="1" applyAlignment="1">
      <alignment horizontal="center" vertical="center" wrapText="1"/>
    </xf>
    <xf numFmtId="164" fontId="2" fillId="0" borderId="21" xfId="1" applyNumberFormat="1" applyFont="1" applyFill="1" applyBorder="1" applyAlignment="1">
      <alignment horizontal="center" vertical="center" wrapText="1"/>
    </xf>
    <xf numFmtId="164" fontId="26" fillId="0" borderId="16" xfId="1" applyNumberFormat="1" applyFont="1" applyFill="1" applyBorder="1" applyAlignment="1">
      <alignment horizontal="center" vertical="center" wrapText="1"/>
    </xf>
    <xf numFmtId="164" fontId="11" fillId="0" borderId="13" xfId="1" applyNumberFormat="1" applyFont="1" applyFill="1" applyBorder="1" applyAlignment="1">
      <alignment horizontal="center" vertical="center" wrapText="1"/>
    </xf>
    <xf numFmtId="164" fontId="11" fillId="0" borderId="14" xfId="1" applyNumberFormat="1" applyFont="1" applyFill="1" applyBorder="1" applyAlignment="1">
      <alignment horizontal="center" vertical="center" wrapText="1"/>
    </xf>
    <xf numFmtId="164" fontId="11" fillId="0" borderId="22" xfId="1" applyNumberFormat="1" applyFont="1" applyFill="1" applyBorder="1" applyAlignment="1">
      <alignment horizontal="center" vertical="center" wrapText="1"/>
    </xf>
    <xf numFmtId="0" fontId="11" fillId="0" borderId="18" xfId="0" applyFont="1" applyBorder="1"/>
    <xf numFmtId="0" fontId="0" fillId="0" borderId="18" xfId="0" applyBorder="1"/>
    <xf numFmtId="0" fontId="0" fillId="0" borderId="18" xfId="0" applyBorder="1" applyAlignment="1">
      <alignment horizontal="left" vertical="center"/>
    </xf>
    <xf numFmtId="0" fontId="0" fillId="0" borderId="19" xfId="0" applyBorder="1" applyAlignment="1">
      <alignment horizontal="center" vertical="center"/>
    </xf>
    <xf numFmtId="0" fontId="5" fillId="3" borderId="0" xfId="0" applyFont="1" applyFill="1" applyAlignment="1">
      <alignment horizontal="center" vertical="center" wrapText="1"/>
    </xf>
    <xf numFmtId="2" fontId="2" fillId="0" borderId="0" xfId="4" applyNumberFormat="1" applyFont="1" applyBorder="1" applyAlignment="1">
      <alignment horizontal="center" vertical="center"/>
    </xf>
    <xf numFmtId="1" fontId="0" fillId="0" borderId="0" xfId="0" applyNumberFormat="1" applyAlignment="1">
      <alignment horizontal="center" vertical="center"/>
    </xf>
    <xf numFmtId="168" fontId="0" fillId="0" borderId="0" xfId="0" applyNumberFormat="1" applyFill="1" applyAlignment="1">
      <alignment horizontal="center" vertical="center"/>
    </xf>
    <xf numFmtId="169" fontId="0" fillId="0" borderId="0" xfId="0" applyNumberFormat="1" applyAlignment="1">
      <alignment horizontal="center" vertical="center"/>
    </xf>
    <xf numFmtId="0" fontId="0" fillId="0" borderId="0" xfId="0" applyAlignment="1">
      <alignment horizontal="left" vertical="center"/>
    </xf>
    <xf numFmtId="170" fontId="2" fillId="0" borderId="0" xfId="13" applyNumberFormat="1" applyFont="1" applyFill="1" applyBorder="1" applyAlignment="1">
      <alignment horizontal="center"/>
    </xf>
    <xf numFmtId="168" fontId="0" fillId="0" borderId="0" xfId="0" applyNumberFormat="1" applyAlignment="1">
      <alignment horizontal="center" vertical="center"/>
    </xf>
    <xf numFmtId="169" fontId="0" fillId="0" borderId="0" xfId="0" applyNumberFormat="1"/>
    <xf numFmtId="168" fontId="0" fillId="8" borderId="0" xfId="0" applyNumberFormat="1" applyFill="1" applyAlignment="1">
      <alignment horizontal="center" vertical="center"/>
    </xf>
    <xf numFmtId="2" fontId="11" fillId="0" borderId="0" xfId="4" quotePrefix="1" applyNumberFormat="1" applyFont="1" applyFill="1" applyBorder="1" applyAlignment="1">
      <alignment horizontal="center" vertical="center"/>
    </xf>
    <xf numFmtId="2" fontId="11" fillId="0" borderId="16" xfId="4" applyNumberFormat="1" applyFont="1" applyFill="1" applyBorder="1" applyAlignment="1">
      <alignment horizontal="center" vertical="center"/>
    </xf>
    <xf numFmtId="171" fontId="0" fillId="0" borderId="0" xfId="0" applyNumberFormat="1" applyAlignment="1">
      <alignment horizontal="center" vertical="center"/>
    </xf>
    <xf numFmtId="172" fontId="0" fillId="0" borderId="0" xfId="14" applyNumberFormat="1" applyFont="1" applyAlignment="1">
      <alignment horizontal="center" vertical="center"/>
    </xf>
    <xf numFmtId="0" fontId="0" fillId="2" borderId="0" xfId="0" applyFill="1" applyAlignment="1">
      <alignment horizontal="center"/>
    </xf>
    <xf numFmtId="0" fontId="3" fillId="3" borderId="17" xfId="1" applyFont="1" applyFill="1" applyBorder="1" applyAlignment="1">
      <alignment horizontal="center" vertical="center" wrapText="1"/>
    </xf>
    <xf numFmtId="164" fontId="11" fillId="0" borderId="18" xfId="1" applyNumberFormat="1" applyFont="1" applyFill="1" applyBorder="1" applyAlignment="1">
      <alignment horizontal="center" vertical="center" wrapText="1"/>
    </xf>
    <xf numFmtId="164" fontId="2" fillId="0" borderId="18" xfId="1" applyNumberFormat="1" applyFont="1" applyBorder="1" applyAlignment="1">
      <alignment horizontal="center" vertical="center"/>
    </xf>
    <xf numFmtId="165" fontId="2" fillId="0" borderId="18" xfId="1" applyNumberFormat="1" applyFont="1" applyBorder="1" applyAlignment="1">
      <alignment horizontal="center" vertical="center"/>
    </xf>
    <xf numFmtId="164" fontId="0" fillId="0" borderId="18" xfId="0" applyNumberFormat="1" applyBorder="1" applyAlignment="1">
      <alignment horizontal="center" vertical="center"/>
    </xf>
    <xf numFmtId="0" fontId="5" fillId="3" borderId="0" xfId="0" applyFont="1" applyFill="1"/>
    <xf numFmtId="171" fontId="2" fillId="0" borderId="0" xfId="1" applyNumberFormat="1" applyFont="1" applyFill="1" applyAlignment="1">
      <alignment horizontal="center" vertical="center" wrapText="1"/>
    </xf>
    <xf numFmtId="171" fontId="2" fillId="0" borderId="0" xfId="1" applyNumberFormat="1" applyFont="1" applyAlignment="1">
      <alignment horizontal="center"/>
    </xf>
    <xf numFmtId="171" fontId="0" fillId="0" borderId="0" xfId="0" applyNumberFormat="1" applyAlignment="1">
      <alignment horizontal="center"/>
    </xf>
    <xf numFmtId="169" fontId="2" fillId="0" borderId="0" xfId="1" applyNumberFormat="1" applyFont="1" applyFill="1" applyAlignment="1">
      <alignment horizontal="center" vertical="center" wrapText="1"/>
    </xf>
    <xf numFmtId="169" fontId="0" fillId="0" borderId="0" xfId="0" applyNumberFormat="1" applyAlignment="1">
      <alignment horizontal="center"/>
    </xf>
    <xf numFmtId="9" fontId="0" fillId="0" borderId="0" xfId="14" applyFont="1"/>
    <xf numFmtId="164" fontId="0" fillId="9" borderId="0" xfId="0" applyNumberFormat="1" applyFill="1" applyAlignment="1">
      <alignment horizontal="center" vertical="center"/>
    </xf>
    <xf numFmtId="0" fontId="33" fillId="3" borderId="0" xfId="1" applyFont="1" applyFill="1" applyAlignment="1">
      <alignment horizontal="center" vertical="center" wrapText="1"/>
    </xf>
    <xf numFmtId="10" fontId="0" fillId="0" borderId="0" xfId="0" applyNumberFormat="1"/>
    <xf numFmtId="10" fontId="11" fillId="0" borderId="0" xfId="0" applyNumberFormat="1" applyFont="1"/>
    <xf numFmtId="2" fontId="2" fillId="0" borderId="0" xfId="4" applyNumberFormat="1" applyFont="1" applyBorder="1" applyAlignment="1">
      <alignment horizontal="center" vertical="center"/>
    </xf>
    <xf numFmtId="2" fontId="2" fillId="0" borderId="22" xfId="10" applyNumberFormat="1" applyFont="1" applyBorder="1" applyAlignment="1">
      <alignment horizontal="center" vertical="center" wrapText="1"/>
    </xf>
    <xf numFmtId="2" fontId="2" fillId="0" borderId="21" xfId="10" applyNumberFormat="1" applyFont="1" applyBorder="1" applyAlignment="1">
      <alignment horizontal="center" vertical="center" wrapText="1"/>
    </xf>
    <xf numFmtId="2" fontId="3" fillId="0" borderId="15" xfId="10" applyNumberFormat="1" applyFont="1" applyBorder="1" applyAlignment="1">
      <alignment horizontal="center" vertical="center" wrapText="1"/>
    </xf>
    <xf numFmtId="2" fontId="2" fillId="0" borderId="16" xfId="10" applyNumberFormat="1" applyFont="1" applyBorder="1" applyAlignment="1">
      <alignment horizontal="center" vertical="center" wrapText="1"/>
    </xf>
    <xf numFmtId="2" fontId="2" fillId="0" borderId="23" xfId="10" applyNumberFormat="1" applyFont="1" applyBorder="1" applyAlignment="1">
      <alignment horizontal="center" vertical="center" wrapText="1"/>
    </xf>
    <xf numFmtId="2" fontId="3" fillId="0" borderId="17" xfId="10" applyNumberFormat="1" applyFont="1" applyBorder="1" applyAlignment="1">
      <alignment horizontal="center" vertical="center" wrapText="1"/>
    </xf>
    <xf numFmtId="2" fontId="3" fillId="0" borderId="18" xfId="10" applyNumberFormat="1" applyFont="1" applyBorder="1" applyAlignment="1">
      <alignment horizontal="center" vertical="center" wrapText="1"/>
    </xf>
    <xf numFmtId="2" fontId="3" fillId="0" borderId="19" xfId="10" applyNumberFormat="1" applyFont="1" applyBorder="1" applyAlignment="1">
      <alignment horizontal="center" vertical="center" wrapText="1"/>
    </xf>
    <xf numFmtId="2" fontId="2" fillId="0" borderId="16" xfId="10" applyNumberFormat="1" applyFont="1" applyBorder="1" applyAlignment="1">
      <alignment horizontal="center" vertical="center"/>
    </xf>
    <xf numFmtId="2" fontId="2" fillId="0" borderId="23" xfId="10" applyNumberFormat="1" applyFont="1" applyBorder="1" applyAlignment="1">
      <alignment horizontal="center" vertical="center"/>
    </xf>
    <xf numFmtId="2" fontId="2" fillId="0" borderId="13" xfId="10" applyNumberFormat="1" applyFont="1" applyBorder="1" applyAlignment="1">
      <alignment horizontal="center" vertical="center"/>
    </xf>
    <xf numFmtId="2" fontId="2" fillId="0" borderId="15" xfId="10" applyNumberFormat="1" applyFont="1" applyBorder="1" applyAlignment="1">
      <alignment horizontal="center" vertical="center"/>
    </xf>
    <xf numFmtId="0" fontId="5" fillId="0" borderId="0" xfId="0" applyFont="1" applyFill="1" applyAlignment="1">
      <alignment horizontal="center" vertical="center" wrapText="1"/>
    </xf>
    <xf numFmtId="0" fontId="0" fillId="2" borderId="0" xfId="0" applyFont="1" applyFill="1" applyAlignment="1">
      <alignment horizont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16" fillId="3" borderId="15"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5" fillId="3" borderId="0" xfId="0" applyFont="1" applyFill="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3" fillId="3" borderId="17"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2" fillId="0" borderId="0" xfId="1" applyFont="1" applyFill="1" applyAlignment="1">
      <alignment horizontal="left"/>
    </xf>
    <xf numFmtId="0" fontId="0" fillId="0" borderId="0" xfId="0" applyAlignment="1">
      <alignment horizontal="left" vertical="center" wrapText="1"/>
    </xf>
    <xf numFmtId="0" fontId="2" fillId="0" borderId="0" xfId="1" applyFont="1" applyAlignment="1">
      <alignment horizontal="left" vertical="center" wrapText="1"/>
    </xf>
    <xf numFmtId="0" fontId="0" fillId="0" borderId="0" xfId="0" applyAlignment="1">
      <alignment horizontal="left" vertical="center"/>
    </xf>
    <xf numFmtId="0" fontId="0" fillId="0" borderId="0" xfId="0" applyAlignment="1">
      <alignment horizontal="left" wrapText="1"/>
    </xf>
    <xf numFmtId="0" fontId="5" fillId="3" borderId="35" xfId="0" applyFont="1" applyFill="1" applyBorder="1" applyAlignment="1">
      <alignment horizontal="center" vertical="center" wrapText="1"/>
    </xf>
    <xf numFmtId="0" fontId="2" fillId="0" borderId="0" xfId="4" applyFont="1" applyAlignment="1">
      <alignment horizontal="left" vertical="center" wrapText="1"/>
    </xf>
    <xf numFmtId="0" fontId="3" fillId="0" borderId="13" xfId="4" applyFont="1" applyBorder="1" applyAlignment="1">
      <alignment horizontal="center" wrapText="1"/>
    </xf>
    <xf numFmtId="0" fontId="3" fillId="0" borderId="14" xfId="4" applyFont="1" applyBorder="1" applyAlignment="1">
      <alignment horizontal="center" wrapText="1"/>
    </xf>
    <xf numFmtId="0" fontId="3" fillId="0" borderId="22" xfId="4" applyFont="1" applyBorder="1" applyAlignment="1">
      <alignment horizontal="center" wrapText="1"/>
    </xf>
    <xf numFmtId="2" fontId="2" fillId="0" borderId="0" xfId="4" applyNumberFormat="1" applyFont="1" applyBorder="1" applyAlignment="1">
      <alignment horizontal="center" vertical="center"/>
    </xf>
    <xf numFmtId="2" fontId="2" fillId="0" borderId="21" xfId="4" applyNumberFormat="1" applyFont="1" applyBorder="1" applyAlignment="1">
      <alignment horizontal="center" vertical="center"/>
    </xf>
    <xf numFmtId="0" fontId="2" fillId="0" borderId="14" xfId="4" applyFont="1" applyBorder="1" applyAlignment="1">
      <alignment horizontal="left" vertical="center" wrapText="1"/>
    </xf>
    <xf numFmtId="0" fontId="2" fillId="0" borderId="35" xfId="4" applyFont="1" applyBorder="1" applyAlignment="1">
      <alignment horizontal="left" vertical="center" wrapText="1"/>
    </xf>
    <xf numFmtId="0" fontId="2" fillId="0" borderId="0" xfId="4" applyFont="1" applyAlignment="1">
      <alignment horizontal="left" vertical="center"/>
    </xf>
    <xf numFmtId="0" fontId="2" fillId="0" borderId="0" xfId="4" applyFont="1" applyFill="1" applyBorder="1" applyAlignment="1">
      <alignment horizontal="left" vertical="center" wrapText="1"/>
    </xf>
    <xf numFmtId="0" fontId="3" fillId="3" borderId="43" xfId="10" applyFont="1" applyFill="1" applyBorder="1" applyAlignment="1">
      <alignment horizontal="center" vertical="center" wrapText="1"/>
    </xf>
    <xf numFmtId="0" fontId="2" fillId="3" borderId="44" xfId="10" applyFont="1" applyFill="1" applyBorder="1" applyAlignment="1">
      <alignment horizontal="center" vertical="center" wrapText="1"/>
    </xf>
    <xf numFmtId="0" fontId="2" fillId="3" borderId="45" xfId="10" applyFont="1" applyFill="1" applyBorder="1" applyAlignment="1">
      <alignment horizontal="center" vertical="center" wrapText="1"/>
    </xf>
    <xf numFmtId="0" fontId="5" fillId="3" borderId="0" xfId="0" applyFont="1" applyFill="1" applyAlignment="1">
      <alignment horizontal="center" wrapText="1"/>
    </xf>
  </cellXfs>
  <cellStyles count="15">
    <cellStyle name="Date" xfId="5"/>
    <cellStyle name="En-tête 1" xfId="6"/>
    <cellStyle name="En-tête 2" xfId="7"/>
    <cellStyle name="Financier0" xfId="8"/>
    <cellStyle name="Lien hypertexte" xfId="2" builtinId="8"/>
    <cellStyle name="Milliers" xfId="13" builtinId="3"/>
    <cellStyle name="Monétaire0" xfId="9"/>
    <cellStyle name="Normal" xfId="0" builtinId="0"/>
    <cellStyle name="Normal 2" xfId="3"/>
    <cellStyle name="Normal 3" xfId="4"/>
    <cellStyle name="Normal_AppendixTables(NationalAccountsData)" xfId="10"/>
    <cellStyle name="Normal_ComptesAPU(Principaux_impots_2007_valeur)(insee.fr12052009)" xfId="1"/>
    <cellStyle name="Pourcentage" xfId="14" builtinId="5"/>
    <cellStyle name="style_col_headings" xfId="11"/>
    <cellStyle name="Virgule fixe"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95250</xdr:colOff>
      <xdr:row>1</xdr:row>
      <xdr:rowOff>95250</xdr:rowOff>
    </xdr:from>
    <xdr:to>
      <xdr:col>15</xdr:col>
      <xdr:colOff>841793</xdr:colOff>
      <xdr:row>7</xdr:row>
      <xdr:rowOff>95945</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86675" y="285750"/>
          <a:ext cx="3032543" cy="11532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AXIPP/Legislation/Bar&#232;mes%20IPP/Bar&#232;mes%20IPP%20-%20pr&#233;l&#232;vements%20sociau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XIPP/Legislation/Bar&#232;mes%20IPP/Bar&#232;mes%20IPP%20-%20revenus%20capitau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gr&#233;gats%20IPP%20-%20Comptabilit&#233;%20nationale%20ba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gr&#233;gats%20IPP%20-%20Donn&#233;es%20fiscal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AXIPP/Legislation/Bar&#232;mes%20IPP/Bar&#232;mes%20IPP%20-%20param&#232;tres_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PSS"/>
      <sheetName val="CSG-1"/>
      <sheetName val="CSG-2"/>
      <sheetName val="CRDS"/>
      <sheetName val="SS"/>
      <sheetName val="MMID"/>
      <sheetName val="MMID-AM"/>
      <sheetName val="CNAV"/>
      <sheetName val="VEUVAGE"/>
      <sheetName val="CSA"/>
      <sheetName val="FAMILLE"/>
      <sheetName val="CSS_RED"/>
      <sheetName val="CHOMAGE"/>
      <sheetName val="AGS"/>
      <sheetName val="ASF"/>
      <sheetName val="AGFF"/>
      <sheetName val="ARRCO"/>
      <sheetName val="AGIRC"/>
      <sheetName val="CET"/>
      <sheetName val="APEC"/>
      <sheetName val="DECES_CADRES"/>
      <sheetName val="ASSIETTE PU"/>
      <sheetName val="MMID-Etat"/>
      <sheetName val="MMID-CL"/>
      <sheetName val="RP"/>
      <sheetName val="CI"/>
      <sheetName val="RAFP"/>
      <sheetName val="CNRACL"/>
      <sheetName val="IRCANTEC"/>
      <sheetName val="FDS"/>
      <sheetName val="TAXSAL"/>
      <sheetName val="CONSTRUCTION"/>
      <sheetName val="FNAL"/>
      <sheetName val="ACCIDENTS"/>
      <sheetName val="FORMATION"/>
      <sheetName val="APPRENTISSAGE"/>
      <sheetName val="VT"/>
      <sheetName val="PREVOYANCE"/>
      <sheetName val="Feuil1"/>
    </sheetNames>
    <sheetDataSet>
      <sheetData sheetId="0"/>
      <sheetData sheetId="1"/>
      <sheetData sheetId="2">
        <row r="4">
          <cell r="F4">
            <v>1.7500000000000002E-2</v>
          </cell>
          <cell r="G4">
            <v>0</v>
          </cell>
        </row>
        <row r="5">
          <cell r="F5">
            <v>0.03</v>
          </cell>
          <cell r="G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PFL"/>
      <sheetName val="PFL-AV"/>
      <sheetName val="CSG"/>
      <sheetName val="PS"/>
    </sheetNames>
    <sheetDataSet>
      <sheetData sheetId="0"/>
      <sheetData sheetId="1">
        <row r="4">
          <cell r="B4">
            <v>0.24</v>
          </cell>
        </row>
      </sheetData>
      <sheetData sheetId="2"/>
      <sheetData sheetId="3">
        <row r="3">
          <cell r="B3">
            <v>8.2000000000000003E-2</v>
          </cell>
          <cell r="C3">
            <v>8.2000000000000003E-2</v>
          </cell>
        </row>
        <row r="4">
          <cell r="B4">
            <v>8.2000000000000003E-2</v>
          </cell>
          <cell r="C4">
            <v>8.2000000000000003E-2</v>
          </cell>
        </row>
        <row r="5">
          <cell r="B5">
            <v>8.2000000000000003E-2</v>
          </cell>
          <cell r="C5">
            <v>7.4999999999999997E-2</v>
          </cell>
        </row>
        <row r="6">
          <cell r="B6">
            <v>7.4999999999999997E-2</v>
          </cell>
          <cell r="C6">
            <v>7.4999999999999997E-2</v>
          </cell>
        </row>
        <row r="7">
          <cell r="B7">
            <v>7.4999999999999997E-2</v>
          </cell>
          <cell r="C7">
            <v>7.4999999999999997E-2</v>
          </cell>
        </row>
        <row r="9">
          <cell r="B9">
            <v>7.4999999999999997E-2</v>
          </cell>
          <cell r="C9">
            <v>3.4000000000000002E-2</v>
          </cell>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N1"/>
      <sheetName val="CN2"/>
      <sheetName val="CN2p"/>
      <sheetName val="CN3"/>
      <sheetName val="CN4"/>
      <sheetName val="CN5"/>
      <sheetName val="CN6"/>
      <sheetName val="CN7"/>
      <sheetName val="CN8"/>
      <sheetName val="CN9"/>
      <sheetName val="CN10"/>
      <sheetName val="CN11"/>
      <sheetName val="CN12"/>
      <sheetName val="CN13"/>
      <sheetName val="CN14"/>
      <sheetName val="CN15"/>
      <sheetName val="CN16"/>
      <sheetName val="CN16(p)"/>
      <sheetName val="CN17"/>
      <sheetName val="CN18"/>
      <sheetName val="CN18p"/>
      <sheetName val="CN19"/>
      <sheetName val="CN20a"/>
      <sheetName val="CN21a"/>
      <sheetName val="CN22a"/>
      <sheetName val="CN23a"/>
      <sheetName val="CN20b"/>
      <sheetName val="CN21b"/>
      <sheetName val="CN22b"/>
      <sheetName val="CN23b"/>
      <sheetName val="Données graph taux d'imposition"/>
      <sheetName val="Taux imposition"/>
      <sheetName val="Taux imposition v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
          <cell r="G5">
            <v>126.43809702000003</v>
          </cell>
        </row>
        <row r="6">
          <cell r="G6">
            <v>122.75543399999998</v>
          </cell>
        </row>
        <row r="18">
          <cell r="G18">
            <v>75.161569999999983</v>
          </cell>
        </row>
        <row r="19">
          <cell r="G19">
            <v>69.428480000000008</v>
          </cell>
        </row>
        <row r="20">
          <cell r="G20">
            <v>64.839210000000008</v>
          </cell>
        </row>
      </sheetData>
      <sheetData sheetId="15"/>
      <sheetData sheetId="16">
        <row r="5">
          <cell r="J5">
            <v>37.953406890547221</v>
          </cell>
        </row>
        <row r="6">
          <cell r="J6">
            <v>35.472931055310809</v>
          </cell>
        </row>
        <row r="7">
          <cell r="J7">
            <v>33.643999999999998</v>
          </cell>
        </row>
        <row r="8">
          <cell r="J8">
            <v>42.01</v>
          </cell>
        </row>
        <row r="9">
          <cell r="J9">
            <v>59.331999999999994</v>
          </cell>
        </row>
        <row r="10">
          <cell r="J10">
            <v>51.338999999999999</v>
          </cell>
        </row>
        <row r="11">
          <cell r="J11">
            <v>42.427</v>
          </cell>
        </row>
        <row r="12">
          <cell r="J12">
            <v>34.559400000000004</v>
          </cell>
        </row>
        <row r="13">
          <cell r="J13">
            <v>39.302</v>
          </cell>
        </row>
        <row r="14">
          <cell r="J14">
            <v>41.259900000000002</v>
          </cell>
        </row>
        <row r="15">
          <cell r="J15">
            <v>44.884400000000007</v>
          </cell>
        </row>
        <row r="16">
          <cell r="J16">
            <v>52.015300000000003</v>
          </cell>
        </row>
        <row r="17">
          <cell r="J17">
            <v>47.486699999999999</v>
          </cell>
        </row>
        <row r="18">
          <cell r="J18">
            <v>40.944099999999999</v>
          </cell>
          <cell r="K18">
            <v>32.8125</v>
          </cell>
          <cell r="L18">
            <v>30.699300000000001</v>
          </cell>
        </row>
        <row r="19">
          <cell r="J19">
            <v>50.151499999999999</v>
          </cell>
          <cell r="K19">
            <v>32.527500000000003</v>
          </cell>
          <cell r="L19">
            <v>29.7652</v>
          </cell>
        </row>
        <row r="20">
          <cell r="J20">
            <v>52.125999999999998</v>
          </cell>
          <cell r="K20">
            <v>30.470299999999998</v>
          </cell>
          <cell r="L20">
            <v>27.770900000000001</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Nombre de personnes"/>
      <sheetName val="2042-nombre"/>
      <sheetName val="2042-montant"/>
      <sheetName val="2042C - nombre"/>
      <sheetName val="2042C - montant"/>
      <sheetName val="calculs calage"/>
      <sheetName val="agregat net"/>
      <sheetName val="verif"/>
      <sheetName val="A comparer avec simul"/>
    </sheetNames>
    <sheetDataSet>
      <sheetData sheetId="0"/>
      <sheetData sheetId="1"/>
      <sheetData sheetId="2"/>
      <sheetData sheetId="3">
        <row r="197">
          <cell r="B197">
            <v>6704917958.9423351</v>
          </cell>
          <cell r="C197">
            <v>23282476031.981163</v>
          </cell>
          <cell r="D197">
            <v>2059063702.2372062</v>
          </cell>
        </row>
        <row r="198">
          <cell r="B198">
            <v>6916849344.1456127</v>
          </cell>
          <cell r="C198">
            <v>24018396654.222195</v>
          </cell>
          <cell r="D198">
            <v>2124147305.8411729</v>
          </cell>
        </row>
        <row r="199">
          <cell r="B199">
            <v>7135479530.4840002</v>
          </cell>
          <cell r="C199">
            <v>24777578512.145191</v>
          </cell>
          <cell r="D199">
            <v>2191288094.6859245</v>
          </cell>
        </row>
        <row r="200">
          <cell r="B200">
            <v>7361020256</v>
          </cell>
          <cell r="C200" t="str">
            <v>25 560 756 855</v>
          </cell>
          <cell r="D200" t="str">
            <v>2 260 551 093</v>
          </cell>
        </row>
        <row r="201">
          <cell r="B201">
            <v>7387117976</v>
          </cell>
          <cell r="C201" t="str">
            <v>24 619 751 835</v>
          </cell>
          <cell r="D201" t="str">
            <v>1 998 160 965</v>
          </cell>
        </row>
        <row r="202">
          <cell r="B202">
            <v>7366036815</v>
          </cell>
          <cell r="C202" t="str">
            <v>23 267 738 080</v>
          </cell>
          <cell r="D202" t="str">
            <v>1 707 491 262</v>
          </cell>
        </row>
        <row r="203">
          <cell r="B203">
            <v>6957924543</v>
          </cell>
          <cell r="C203" t="str">
            <v>18 467 022 875</v>
          </cell>
          <cell r="D203" t="str">
            <v>1 661 325 830</v>
          </cell>
        </row>
        <row r="204">
          <cell r="B204">
            <v>7093100129</v>
          </cell>
          <cell r="C204">
            <v>17280606188</v>
          </cell>
          <cell r="D204">
            <v>1488932052</v>
          </cell>
        </row>
        <row r="205">
          <cell r="B205">
            <v>6912150962</v>
          </cell>
          <cell r="C205">
            <v>16528135466</v>
          </cell>
          <cell r="D205">
            <v>1354873124</v>
          </cell>
        </row>
        <row r="206">
          <cell r="B206">
            <v>5715930626.4129295</v>
          </cell>
          <cell r="C206">
            <v>16344860688.820259</v>
          </cell>
          <cell r="D206">
            <v>1297777559.8335238</v>
          </cell>
        </row>
        <row r="207">
          <cell r="B207">
            <v>4848733503.0820131</v>
          </cell>
          <cell r="C207">
            <v>16211996069.46785</v>
          </cell>
          <cell r="D207">
            <v>1256386264.6622839</v>
          </cell>
        </row>
        <row r="208">
          <cell r="B208">
            <v>3315336579.5913315</v>
          </cell>
          <cell r="C208">
            <v>15977061943.103136</v>
          </cell>
          <cell r="D208">
            <v>1183197271.1021032</v>
          </cell>
        </row>
        <row r="209">
          <cell r="B209">
            <v>1421810932.3618851</v>
          </cell>
          <cell r="C209">
            <v>15686951935.142281</v>
          </cell>
          <cell r="D209">
            <v>1092819343.3274519</v>
          </cell>
        </row>
        <row r="210">
          <cell r="B210">
            <v>869375003.69688869</v>
          </cell>
          <cell r="C210">
            <v>15602312367.731422</v>
          </cell>
          <cell r="D210">
            <v>1066451591.4387671</v>
          </cell>
        </row>
        <row r="211">
          <cell r="C211">
            <v>14812938337.269058</v>
          </cell>
          <cell r="D211">
            <v>1004936518.6973692</v>
          </cell>
        </row>
      </sheetData>
      <sheetData sheetId="4"/>
      <sheetData sheetId="5"/>
      <sheetData sheetId="6">
        <row r="56">
          <cell r="D56">
            <v>1.2127319820028779</v>
          </cell>
          <cell r="E56">
            <v>19.749272165141253</v>
          </cell>
          <cell r="N56">
            <v>5.45</v>
          </cell>
        </row>
        <row r="57">
          <cell r="E57">
            <v>18.458542389276499</v>
          </cell>
          <cell r="N57">
            <v>5.45</v>
          </cell>
        </row>
        <row r="58">
          <cell r="E58">
            <v>17.50684766298281</v>
          </cell>
          <cell r="N58">
            <v>5.4509999999999996</v>
          </cell>
        </row>
        <row r="59">
          <cell r="E59">
            <v>18.652911457347919</v>
          </cell>
          <cell r="N59">
            <v>4.8849999999999998</v>
          </cell>
        </row>
        <row r="60">
          <cell r="E60">
            <v>20.525850867999999</v>
          </cell>
          <cell r="N60">
            <v>4.6660000000000004</v>
          </cell>
        </row>
        <row r="61">
          <cell r="E61">
            <v>20.938167666000002</v>
          </cell>
          <cell r="N61">
            <v>5.335</v>
          </cell>
        </row>
        <row r="62">
          <cell r="E62">
            <v>18.955813830999997</v>
          </cell>
          <cell r="N62">
            <v>3.6179999999999999</v>
          </cell>
        </row>
        <row r="63">
          <cell r="E63">
            <v>15.742381024</v>
          </cell>
          <cell r="N63">
            <v>3.1760000000000002</v>
          </cell>
        </row>
        <row r="64">
          <cell r="E64">
            <v>20.048257071999998</v>
          </cell>
          <cell r="N64">
            <v>2.3769999999999998</v>
          </cell>
        </row>
        <row r="65">
          <cell r="E65">
            <v>18.953389224000002</v>
          </cell>
          <cell r="N65">
            <v>1.7</v>
          </cell>
        </row>
        <row r="66">
          <cell r="E66">
            <v>16.986884016910412</v>
          </cell>
          <cell r="N66">
            <v>1.8</v>
          </cell>
        </row>
        <row r="67">
          <cell r="E67">
            <v>13.75560777720284</v>
          </cell>
          <cell r="N67">
            <v>2.1</v>
          </cell>
        </row>
        <row r="68">
          <cell r="E68">
            <v>14.959774607679211</v>
          </cell>
          <cell r="N68">
            <v>2.2000000000000002</v>
          </cell>
        </row>
        <row r="69">
          <cell r="E69">
            <v>16.950560864889056</v>
          </cell>
          <cell r="N69">
            <v>1.7</v>
          </cell>
        </row>
        <row r="70">
          <cell r="E70">
            <v>13.447459036796619</v>
          </cell>
          <cell r="N70">
            <v>1.7226738947827374</v>
          </cell>
        </row>
        <row r="71">
          <cell r="E71">
            <v>13.715314479607656</v>
          </cell>
          <cell r="N71">
            <v>2.0321453997746803</v>
          </cell>
        </row>
        <row r="80">
          <cell r="B80">
            <v>18.471944267494589</v>
          </cell>
        </row>
        <row r="81">
          <cell r="B81">
            <v>17.933926473295713</v>
          </cell>
        </row>
        <row r="82">
          <cell r="B82">
            <v>17.411579100287099</v>
          </cell>
        </row>
        <row r="83">
          <cell r="B83">
            <v>16.227831842070543</v>
          </cell>
        </row>
        <row r="84">
          <cell r="B84">
            <v>13.874583831999999</v>
          </cell>
        </row>
        <row r="85">
          <cell r="B85">
            <v>22.099663337000003</v>
          </cell>
        </row>
        <row r="86">
          <cell r="B86">
            <v>19.766762264</v>
          </cell>
        </row>
        <row r="87">
          <cell r="B87">
            <v>15.014357385</v>
          </cell>
        </row>
        <row r="88">
          <cell r="B88">
            <v>12.996993185999999</v>
          </cell>
        </row>
        <row r="89">
          <cell r="B89">
            <v>10.821511413000001</v>
          </cell>
        </row>
        <row r="90">
          <cell r="B90">
            <v>10.334047825419811</v>
          </cell>
        </row>
        <row r="91">
          <cell r="B91">
            <v>10.655192991423768</v>
          </cell>
        </row>
        <row r="92">
          <cell r="B92">
            <v>11.321151802769119</v>
          </cell>
        </row>
        <row r="93">
          <cell r="B93">
            <v>11.197005993974868</v>
          </cell>
        </row>
        <row r="94">
          <cell r="B94">
            <v>10.142938240616381</v>
          </cell>
        </row>
        <row r="95">
          <cell r="B95">
            <v>9.0016466678456055</v>
          </cell>
        </row>
      </sheetData>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deduc_sal"/>
      <sheetName val="RCM"/>
      <sheetName val="micro"/>
      <sheetName val="charg_deduc"/>
      <sheetName val="abat_RNI"/>
      <sheetName val="exo_IR"/>
      <sheetName val="Barème IR"/>
      <sheetName val="plaf_qf"/>
      <sheetName val="pv"/>
      <sheetName val="dons"/>
      <sheetName val="cot_synd"/>
      <sheetName val="SOFIPECHE"/>
      <sheetName val="sal_dom"/>
      <sheetName val="prest_compen"/>
      <sheetName val="FCP"/>
      <sheetName val="SOFICA"/>
      <sheetName val="PME"/>
      <sheetName val="forêt"/>
      <sheetName val="enfscol"/>
      <sheetName val="heberg_santé"/>
      <sheetName val="habitat_princ"/>
      <sheetName val="codev"/>
      <sheetName val="divers"/>
      <sheetName val="gardenf"/>
      <sheetName val="PPE"/>
      <sheetName val="plaf_nich"/>
      <sheetName val="taxe_HR"/>
    </sheetNames>
    <sheetDataSet>
      <sheetData sheetId="0"/>
      <sheetData sheetId="1"/>
      <sheetData sheetId="2"/>
      <sheetData sheetId="3">
        <row r="3">
          <cell r="I3">
            <v>15000</v>
          </cell>
          <cell r="J3">
            <v>0.3</v>
          </cell>
        </row>
        <row r="4">
          <cell r="I4">
            <v>15000</v>
          </cell>
          <cell r="J4">
            <v>0.3</v>
          </cell>
        </row>
        <row r="5">
          <cell r="I5">
            <v>15000</v>
          </cell>
          <cell r="J5">
            <v>0.3</v>
          </cell>
        </row>
        <row r="6">
          <cell r="I6">
            <v>15000</v>
          </cell>
          <cell r="J6">
            <v>0.3</v>
          </cell>
        </row>
        <row r="7">
          <cell r="I7">
            <v>15000</v>
          </cell>
          <cell r="J7">
            <v>0.3</v>
          </cell>
        </row>
        <row r="8">
          <cell r="I8">
            <v>15000</v>
          </cell>
          <cell r="J8">
            <v>0.3</v>
          </cell>
        </row>
        <row r="9">
          <cell r="I9">
            <v>15000</v>
          </cell>
          <cell r="J9">
            <v>0.4</v>
          </cell>
        </row>
        <row r="10">
          <cell r="I10">
            <v>15000</v>
          </cell>
          <cell r="J10">
            <v>0.4</v>
          </cell>
        </row>
        <row r="11">
          <cell r="I11">
            <v>15000</v>
          </cell>
          <cell r="J11">
            <v>0.4</v>
          </cell>
        </row>
        <row r="12">
          <cell r="I12">
            <v>15000</v>
          </cell>
          <cell r="J12">
            <v>0.4</v>
          </cell>
        </row>
        <row r="13">
          <cell r="I13">
            <v>15000</v>
          </cell>
          <cell r="J13">
            <v>0.4</v>
          </cell>
        </row>
        <row r="14">
          <cell r="I14">
            <v>60000</v>
          </cell>
          <cell r="J14">
            <v>0.4</v>
          </cell>
        </row>
        <row r="15">
          <cell r="I15">
            <v>60000</v>
          </cell>
          <cell r="J15">
            <v>0.4</v>
          </cell>
        </row>
        <row r="16">
          <cell r="I16">
            <v>30000</v>
          </cell>
          <cell r="J16">
            <v>0.33333333333333298</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0"/>
  <sheetViews>
    <sheetView workbookViewId="0">
      <selection activeCell="G25" sqref="G25"/>
    </sheetView>
  </sheetViews>
  <sheetFormatPr baseColWidth="10" defaultRowHeight="15" x14ac:dyDescent="0.25"/>
  <cols>
    <col min="1" max="1" width="4.140625" customWidth="1"/>
    <col min="2" max="2" width="2.85546875" customWidth="1"/>
    <col min="3" max="3" width="3.28515625" customWidth="1"/>
    <col min="9" max="9" width="12.140625" customWidth="1"/>
    <col min="16" max="16" width="12.85546875" customWidth="1"/>
  </cols>
  <sheetData>
    <row r="2" spans="1:16" ht="15.75" x14ac:dyDescent="0.25">
      <c r="B2" s="9" t="s">
        <v>42</v>
      </c>
    </row>
    <row r="3" spans="1:16" x14ac:dyDescent="0.25">
      <c r="A3" t="s">
        <v>37</v>
      </c>
    </row>
    <row r="4" spans="1:16" x14ac:dyDescent="0.25">
      <c r="B4" s="262" t="s">
        <v>193</v>
      </c>
      <c r="C4" s="263"/>
      <c r="D4" s="263"/>
      <c r="E4" s="263"/>
      <c r="F4" s="263"/>
      <c r="G4" s="263"/>
      <c r="H4" s="263"/>
      <c r="I4" s="263"/>
      <c r="J4" s="263"/>
      <c r="K4" s="263"/>
      <c r="L4" s="264"/>
    </row>
    <row r="5" spans="1:16" x14ac:dyDescent="0.25">
      <c r="B5" s="265"/>
      <c r="C5" s="266"/>
      <c r="D5" s="266"/>
      <c r="E5" s="266"/>
      <c r="F5" s="266"/>
      <c r="G5" s="266"/>
      <c r="H5" s="266"/>
      <c r="I5" s="266"/>
      <c r="J5" s="266"/>
      <c r="K5" s="266"/>
      <c r="L5" s="267"/>
    </row>
    <row r="6" spans="1:16" x14ac:dyDescent="0.25">
      <c r="B6" s="265"/>
      <c r="C6" s="266"/>
      <c r="D6" s="266"/>
      <c r="E6" s="266"/>
      <c r="F6" s="266"/>
      <c r="G6" s="266"/>
      <c r="H6" s="266"/>
      <c r="I6" s="266"/>
      <c r="J6" s="266"/>
      <c r="K6" s="266"/>
      <c r="L6" s="267"/>
    </row>
    <row r="7" spans="1:16" x14ac:dyDescent="0.25">
      <c r="B7" s="265"/>
      <c r="C7" s="266"/>
      <c r="D7" s="266"/>
      <c r="E7" s="266"/>
      <c r="F7" s="266"/>
      <c r="G7" s="266"/>
      <c r="H7" s="266"/>
      <c r="I7" s="266"/>
      <c r="J7" s="266"/>
      <c r="K7" s="266"/>
      <c r="L7" s="267"/>
    </row>
    <row r="8" spans="1:16" x14ac:dyDescent="0.25">
      <c r="B8" s="268"/>
      <c r="C8" s="269"/>
      <c r="D8" s="269"/>
      <c r="E8" s="269"/>
      <c r="F8" s="269"/>
      <c r="G8" s="269"/>
      <c r="H8" s="269"/>
      <c r="I8" s="269"/>
      <c r="J8" s="269"/>
      <c r="K8" s="269"/>
      <c r="L8" s="270"/>
    </row>
    <row r="10" spans="1:16" x14ac:dyDescent="0.25">
      <c r="D10" s="10"/>
      <c r="J10" s="190" t="s">
        <v>38</v>
      </c>
      <c r="K10" s="191"/>
      <c r="L10" s="191"/>
      <c r="M10" s="191"/>
      <c r="N10" s="191"/>
      <c r="O10" s="191"/>
      <c r="P10" s="192"/>
    </row>
    <row r="11" spans="1:16" x14ac:dyDescent="0.25">
      <c r="B11" s="11" t="s">
        <v>39</v>
      </c>
      <c r="C11" s="10"/>
      <c r="J11" s="193" t="s">
        <v>239</v>
      </c>
      <c r="K11" s="12"/>
      <c r="L11" s="12"/>
      <c r="M11" s="12"/>
      <c r="N11" s="12"/>
      <c r="O11" s="12"/>
      <c r="P11" s="194"/>
    </row>
    <row r="12" spans="1:16" x14ac:dyDescent="0.25">
      <c r="C12">
        <v>1</v>
      </c>
      <c r="D12" s="10" t="s">
        <v>118</v>
      </c>
      <c r="J12" s="193"/>
      <c r="K12" s="12"/>
      <c r="L12" s="12"/>
      <c r="M12" s="12"/>
      <c r="N12" s="12"/>
      <c r="O12" s="12"/>
      <c r="P12" s="194"/>
    </row>
    <row r="13" spans="1:16" x14ac:dyDescent="0.25">
      <c r="C13">
        <v>2</v>
      </c>
      <c r="D13" s="10" t="s">
        <v>43</v>
      </c>
      <c r="J13" s="195" t="s">
        <v>40</v>
      </c>
      <c r="K13" s="12"/>
      <c r="L13" s="12"/>
      <c r="M13" s="12"/>
      <c r="N13" s="12"/>
      <c r="O13" s="12"/>
      <c r="P13" s="194"/>
    </row>
    <row r="14" spans="1:16" x14ac:dyDescent="0.25">
      <c r="C14">
        <v>3</v>
      </c>
      <c r="D14" s="10" t="s">
        <v>226</v>
      </c>
      <c r="F14" s="41"/>
      <c r="J14" s="193" t="s">
        <v>236</v>
      </c>
      <c r="K14" s="12"/>
      <c r="L14" s="12"/>
      <c r="M14" s="12"/>
      <c r="N14" s="12"/>
      <c r="O14" s="12"/>
      <c r="P14" s="194"/>
    </row>
    <row r="15" spans="1:16" x14ac:dyDescent="0.25">
      <c r="C15">
        <v>4</v>
      </c>
      <c r="D15" s="10" t="s">
        <v>44</v>
      </c>
      <c r="E15" s="41"/>
      <c r="F15" s="41"/>
      <c r="J15" s="196" t="s">
        <v>237</v>
      </c>
      <c r="K15" s="189"/>
      <c r="L15" s="189"/>
      <c r="M15" s="12"/>
      <c r="N15" s="12"/>
      <c r="O15" s="12"/>
      <c r="P15" s="194"/>
    </row>
    <row r="16" spans="1:16" x14ac:dyDescent="0.25">
      <c r="C16">
        <v>5</v>
      </c>
      <c r="D16" s="10" t="s">
        <v>119</v>
      </c>
      <c r="E16" s="41"/>
      <c r="F16" s="41"/>
      <c r="J16" s="197" t="s">
        <v>238</v>
      </c>
      <c r="K16" s="198"/>
      <c r="L16" s="198"/>
      <c r="M16" s="198"/>
      <c r="N16" s="198"/>
      <c r="O16" s="198"/>
      <c r="P16" s="199"/>
    </row>
    <row r="17" spans="2:12" x14ac:dyDescent="0.25">
      <c r="C17" s="41">
        <v>6</v>
      </c>
      <c r="D17" s="10" t="s">
        <v>195</v>
      </c>
      <c r="E17" s="41"/>
      <c r="F17" s="41"/>
    </row>
    <row r="18" spans="2:12" x14ac:dyDescent="0.25">
      <c r="C18" s="41">
        <v>7</v>
      </c>
      <c r="D18" s="10" t="s">
        <v>194</v>
      </c>
      <c r="E18" s="41"/>
      <c r="J18" s="200"/>
      <c r="K18" s="200"/>
      <c r="L18" s="200"/>
    </row>
    <row r="19" spans="2:12" x14ac:dyDescent="0.25">
      <c r="B19" s="11" t="s">
        <v>41</v>
      </c>
      <c r="D19" s="10"/>
      <c r="J19" s="200"/>
      <c r="K19" s="200"/>
      <c r="L19" s="200"/>
    </row>
    <row r="20" spans="2:12" x14ac:dyDescent="0.25">
      <c r="C20">
        <v>7</v>
      </c>
      <c r="D20" s="10" t="s">
        <v>219</v>
      </c>
    </row>
    <row r="21" spans="2:12" x14ac:dyDescent="0.25">
      <c r="C21">
        <v>8</v>
      </c>
      <c r="D21" s="10" t="s">
        <v>218</v>
      </c>
    </row>
    <row r="22" spans="2:12" x14ac:dyDescent="0.25">
      <c r="B22" s="11"/>
      <c r="D22" s="10"/>
    </row>
    <row r="23" spans="2:12" x14ac:dyDescent="0.25">
      <c r="C23" s="10"/>
    </row>
    <row r="25" spans="2:12" x14ac:dyDescent="0.25">
      <c r="D25" s="10"/>
    </row>
    <row r="26" spans="2:12" x14ac:dyDescent="0.25">
      <c r="B26" s="11"/>
      <c r="D26" s="10"/>
    </row>
    <row r="27" spans="2:12" x14ac:dyDescent="0.25">
      <c r="C27" s="10"/>
    </row>
    <row r="28" spans="2:12" x14ac:dyDescent="0.25">
      <c r="D28" s="10"/>
    </row>
    <row r="29" spans="2:12" x14ac:dyDescent="0.25">
      <c r="D29" s="10"/>
    </row>
    <row r="30" spans="2:12" x14ac:dyDescent="0.25">
      <c r="D30" s="10"/>
    </row>
    <row r="31" spans="2:12" x14ac:dyDescent="0.25">
      <c r="D31" s="10"/>
    </row>
    <row r="32" spans="2:12" x14ac:dyDescent="0.25">
      <c r="B32" s="11"/>
      <c r="D32" s="10"/>
    </row>
    <row r="33" spans="2:4" x14ac:dyDescent="0.25">
      <c r="C33" s="10"/>
      <c r="D33" s="10"/>
    </row>
    <row r="34" spans="2:4" x14ac:dyDescent="0.25">
      <c r="D34" s="10"/>
    </row>
    <row r="35" spans="2:4" x14ac:dyDescent="0.25">
      <c r="D35" s="10"/>
    </row>
    <row r="36" spans="2:4" x14ac:dyDescent="0.25">
      <c r="D36" s="10"/>
    </row>
    <row r="37" spans="2:4" x14ac:dyDescent="0.25">
      <c r="D37" s="10"/>
    </row>
    <row r="38" spans="2:4" x14ac:dyDescent="0.25">
      <c r="D38" s="10"/>
    </row>
    <row r="39" spans="2:4" x14ac:dyDescent="0.25">
      <c r="D39" s="10"/>
    </row>
    <row r="40" spans="2:4" x14ac:dyDescent="0.25">
      <c r="D40" s="10"/>
    </row>
    <row r="41" spans="2:4" x14ac:dyDescent="0.25">
      <c r="B41" s="11"/>
      <c r="D41" s="10"/>
    </row>
    <row r="42" spans="2:4" x14ac:dyDescent="0.25">
      <c r="C42" s="10"/>
    </row>
    <row r="43" spans="2:4" x14ac:dyDescent="0.25">
      <c r="D43" s="10"/>
    </row>
    <row r="44" spans="2:4" x14ac:dyDescent="0.25">
      <c r="D44" s="10"/>
    </row>
    <row r="45" spans="2:4" x14ac:dyDescent="0.25">
      <c r="D45" s="10"/>
    </row>
    <row r="46" spans="2:4" x14ac:dyDescent="0.25">
      <c r="D46" s="10"/>
    </row>
    <row r="47" spans="2:4" x14ac:dyDescent="0.25">
      <c r="D47" s="10"/>
    </row>
    <row r="48" spans="2:4" x14ac:dyDescent="0.25">
      <c r="D48" s="10"/>
    </row>
    <row r="49" spans="2:4" x14ac:dyDescent="0.25">
      <c r="D49" s="10"/>
    </row>
    <row r="50" spans="2:4" x14ac:dyDescent="0.25">
      <c r="B50" s="11"/>
      <c r="D50" s="10"/>
    </row>
  </sheetData>
  <mergeCells count="1">
    <mergeCell ref="B4:L8"/>
  </mergeCells>
  <hyperlinks>
    <hyperlink ref="D12" location="Calcul_assietteCSG!A1" display="Calcul des assiettes de CSG"/>
    <hyperlink ref="D13" location="'Recettes CSG (CCSS)'!A1" display="Recettes de la CSG (source CCSS)"/>
    <hyperlink ref="D15" location="'Recettes CSG (FSV)'!A1" display="Recettes de la CSG (source FSV)"/>
    <hyperlink ref="D16" location="'tx prélèvement (FSV)'!A1" display="Taux de prélèvement de CSG du FSV"/>
    <hyperlink ref="D20" location="EXO!A1" display="Exonérations généralisées de charges sociales"/>
    <hyperlink ref="D18" location="Rev_cap_CSG!A1" display="CSG sur revenus de capitaux"/>
    <hyperlink ref="D17" location="Calculs_prélim_Rev_cap_CSG!A1" display="Calculs pour obtenir les assiettes de revenus de capitaux soumis à la CSG"/>
    <hyperlink ref="D21" location="'Rému FP'!A1" display="Composition de la rémunération dans la FP"/>
    <hyperlink ref="D14" location="'CSG-CRDS (V&amp;M)'!A1" display="Recettes de la CSG et de la CRDS (Voies et moyens)"/>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J10" sqref="J10"/>
    </sheetView>
  </sheetViews>
  <sheetFormatPr baseColWidth="10" defaultRowHeight="15" x14ac:dyDescent="0.25"/>
  <cols>
    <col min="6" max="6" width="18.85546875" customWidth="1"/>
  </cols>
  <sheetData>
    <row r="1" spans="1:6" ht="30" x14ac:dyDescent="0.25">
      <c r="A1" s="216"/>
      <c r="B1" s="216" t="s">
        <v>213</v>
      </c>
      <c r="C1" s="216" t="s">
        <v>216</v>
      </c>
      <c r="D1" s="216" t="s">
        <v>214</v>
      </c>
      <c r="E1" s="216" t="s">
        <v>215</v>
      </c>
      <c r="F1" s="216" t="s">
        <v>12</v>
      </c>
    </row>
    <row r="2" spans="1:6" x14ac:dyDescent="0.25">
      <c r="A2" s="261">
        <v>2012</v>
      </c>
      <c r="B2" s="260"/>
      <c r="C2" s="260"/>
      <c r="D2" s="260"/>
      <c r="E2" s="260"/>
      <c r="F2" s="260"/>
    </row>
    <row r="3" spans="1:6" x14ac:dyDescent="0.25">
      <c r="A3" s="261">
        <v>2011</v>
      </c>
      <c r="B3" s="260"/>
      <c r="C3" s="260"/>
      <c r="D3" s="260"/>
      <c r="E3" s="260"/>
      <c r="F3" s="260"/>
    </row>
    <row r="4" spans="1:6" x14ac:dyDescent="0.25">
      <c r="A4" s="261">
        <v>2010</v>
      </c>
      <c r="B4" s="260"/>
      <c r="C4" s="260"/>
      <c r="D4" s="260"/>
      <c r="E4" s="260"/>
      <c r="F4" s="260"/>
    </row>
    <row r="5" spans="1:6" x14ac:dyDescent="0.25">
      <c r="A5" s="230">
        <v>2009</v>
      </c>
      <c r="B5" s="228">
        <v>33958</v>
      </c>
      <c r="C5" s="228">
        <v>27768</v>
      </c>
      <c r="D5" s="228">
        <v>5557</v>
      </c>
      <c r="E5" s="229">
        <f t="shared" ref="E5:E13" si="0">D5/B5</f>
        <v>0.16364332410624891</v>
      </c>
      <c r="F5" t="s">
        <v>217</v>
      </c>
    </row>
    <row r="6" spans="1:6" x14ac:dyDescent="0.25">
      <c r="A6" s="230">
        <v>2008</v>
      </c>
      <c r="B6" s="228">
        <v>33268</v>
      </c>
      <c r="C6" s="228">
        <v>27476</v>
      </c>
      <c r="D6" s="228">
        <v>5171</v>
      </c>
      <c r="E6" s="229">
        <f t="shared" si="0"/>
        <v>0.15543465191775882</v>
      </c>
    </row>
    <row r="7" spans="1:6" x14ac:dyDescent="0.25">
      <c r="A7" s="230">
        <v>2007</v>
      </c>
      <c r="B7" s="228">
        <v>32187</v>
      </c>
      <c r="C7" s="228">
        <v>26873</v>
      </c>
      <c r="D7" s="228">
        <v>4713</v>
      </c>
      <c r="E7" s="229">
        <f t="shared" si="0"/>
        <v>0.14642557554292104</v>
      </c>
    </row>
    <row r="8" spans="1:6" x14ac:dyDescent="0.25">
      <c r="A8" s="230">
        <v>2006</v>
      </c>
      <c r="B8" s="228">
        <v>31259</v>
      </c>
      <c r="C8" s="228">
        <v>26123</v>
      </c>
      <c r="D8" s="228">
        <v>4552</v>
      </c>
      <c r="E8" s="229">
        <f t="shared" si="0"/>
        <v>0.14562206084647622</v>
      </c>
    </row>
    <row r="9" spans="1:6" x14ac:dyDescent="0.25">
      <c r="A9" s="230">
        <v>2005</v>
      </c>
      <c r="B9" s="228">
        <v>30479</v>
      </c>
      <c r="C9" s="228">
        <v>25417</v>
      </c>
      <c r="D9" s="228">
        <v>4493</v>
      </c>
      <c r="E9" s="229">
        <f t="shared" si="0"/>
        <v>0.14741297286656385</v>
      </c>
    </row>
    <row r="10" spans="1:6" x14ac:dyDescent="0.25">
      <c r="A10" s="230">
        <v>2004</v>
      </c>
      <c r="B10" s="228">
        <v>29998</v>
      </c>
      <c r="C10" s="228">
        <v>25066</v>
      </c>
      <c r="D10" s="228">
        <v>4344</v>
      </c>
      <c r="E10" s="229">
        <f t="shared" si="0"/>
        <v>0.1448096539769318</v>
      </c>
    </row>
    <row r="11" spans="1:6" x14ac:dyDescent="0.25">
      <c r="A11" s="230">
        <v>2003</v>
      </c>
      <c r="B11" s="228">
        <v>29514</v>
      </c>
      <c r="C11" s="228">
        <v>24620</v>
      </c>
      <c r="D11" s="228">
        <v>4312</v>
      </c>
      <c r="E11" s="229">
        <f t="shared" si="0"/>
        <v>0.14610015585823677</v>
      </c>
    </row>
    <row r="12" spans="1:6" x14ac:dyDescent="0.25">
      <c r="A12" s="230">
        <v>2002</v>
      </c>
      <c r="B12" s="228">
        <v>29048</v>
      </c>
      <c r="C12" s="228">
        <v>24370</v>
      </c>
      <c r="D12" s="228">
        <v>4110</v>
      </c>
      <c r="E12" s="229">
        <f t="shared" si="0"/>
        <v>0.14148994767281742</v>
      </c>
    </row>
    <row r="13" spans="1:6" x14ac:dyDescent="0.25">
      <c r="A13" s="230">
        <v>2001</v>
      </c>
      <c r="B13" s="228">
        <v>28289</v>
      </c>
      <c r="C13" s="228">
        <v>23839</v>
      </c>
      <c r="D13" s="228">
        <v>3878</v>
      </c>
      <c r="E13" s="229">
        <f t="shared" si="0"/>
        <v>0.13708508607585987</v>
      </c>
    </row>
    <row r="14" spans="1:6" x14ac:dyDescent="0.25">
      <c r="A14" s="230">
        <v>2000</v>
      </c>
      <c r="E14" s="229"/>
    </row>
    <row r="15" spans="1:6" x14ac:dyDescent="0.25">
      <c r="A15" s="230">
        <v>1999</v>
      </c>
      <c r="E15" s="229"/>
    </row>
    <row r="16" spans="1:6" x14ac:dyDescent="0.25">
      <c r="A16" s="230">
        <v>1998</v>
      </c>
      <c r="E16" s="229"/>
    </row>
    <row r="17" spans="1:5" x14ac:dyDescent="0.25">
      <c r="A17" s="230">
        <v>1997</v>
      </c>
      <c r="E17" s="229"/>
    </row>
  </sheetData>
  <sortState ref="A2:F14">
    <sortCondition descending="1" ref="A2"/>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tabSelected="1"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5.7109375" defaultRowHeight="15" x14ac:dyDescent="0.25"/>
  <cols>
    <col min="1" max="1" width="13" customWidth="1"/>
    <col min="3" max="3" width="12.85546875" customWidth="1"/>
    <col min="4" max="4" width="14.140625" customWidth="1"/>
    <col min="10" max="10" width="27.5703125" customWidth="1"/>
  </cols>
  <sheetData>
    <row r="1" spans="1:20" ht="34.5" customHeight="1" thickBot="1" x14ac:dyDescent="0.3">
      <c r="A1" s="271" t="s">
        <v>120</v>
      </c>
      <c r="B1" s="272"/>
      <c r="C1" s="272"/>
      <c r="D1" s="272"/>
      <c r="E1" s="273"/>
      <c r="F1" s="272"/>
      <c r="G1" s="272"/>
      <c r="H1" s="272"/>
    </row>
    <row r="2" spans="1:20" ht="26.25" thickBot="1" x14ac:dyDescent="0.3">
      <c r="A2" s="125" t="s">
        <v>14</v>
      </c>
      <c r="B2" s="79" t="s">
        <v>86</v>
      </c>
      <c r="C2" s="80" t="s">
        <v>122</v>
      </c>
      <c r="D2" s="81" t="s">
        <v>123</v>
      </c>
      <c r="E2" s="47" t="s">
        <v>87</v>
      </c>
      <c r="F2" s="64" t="s">
        <v>88</v>
      </c>
      <c r="G2" s="74" t="s">
        <v>110</v>
      </c>
      <c r="H2" s="72" t="s">
        <v>111</v>
      </c>
      <c r="I2" s="48"/>
      <c r="J2" s="48"/>
      <c r="K2" s="48"/>
      <c r="L2" s="48"/>
      <c r="M2" s="48"/>
      <c r="N2" s="48"/>
      <c r="O2" s="48"/>
      <c r="P2" s="48"/>
      <c r="Q2" s="48"/>
      <c r="R2" s="48"/>
      <c r="S2" s="70"/>
      <c r="T2" s="70"/>
    </row>
    <row r="3" spans="1:20" x14ac:dyDescent="0.25">
      <c r="A3" s="121">
        <v>2012</v>
      </c>
      <c r="B3" s="114">
        <f t="shared" ref="B3:B4" si="0">C3+D3</f>
        <v>717.90829013962571</v>
      </c>
      <c r="C3" s="115">
        <f>('Recettes CSG (FSV)'!F3+0.2*'Recettes CSG (FSV)'!D3+0.5*'Recettes CSG (FSV)'!N3+'Recettes CSG (FSV)'!O3)/'tx (FSV)'!$B3/(1-'tx (FSV)'!I3)</f>
        <v>538.69180681363775</v>
      </c>
      <c r="D3" s="116">
        <f>('Recettes CSG (FSV)'!G3+0.5*'Recettes CSG (FSV)'!N3)/'tx (FSV)'!$B3/(1-'tx (FSV)'!I3)</f>
        <v>179.21648332598795</v>
      </c>
      <c r="E3" s="117">
        <f>('Recettes CSG (FSV)'!M3+0.2*'Recettes CSG (FSV)'!D3)/'tx (FSV)'!C3</f>
        <v>103.55241923505237</v>
      </c>
      <c r="F3" s="118">
        <f t="shared" ref="F3:F4" si="1">G3+H3</f>
        <v>216.76315021554348</v>
      </c>
      <c r="G3" s="119">
        <f>'Recettes CSG (FSV)'!T3/'tx (FSV)'!D3/(1-'tx (FSV)'!I3)</f>
        <v>8.8135874528711131</v>
      </c>
      <c r="H3" s="120">
        <f>('Recettes CSG (FSV)'!C3-0.8*'Recettes CSG (FSV)'!D3+'Recettes CSG (FSV)'!Q3-'Recettes CSG (FSV)'!T3+'Recettes CSG (FSV)'!U3)/'tx (FSV)'!D3</f>
        <v>207.94956276267237</v>
      </c>
      <c r="I3" s="13"/>
      <c r="J3" s="13"/>
      <c r="K3" s="13"/>
      <c r="L3" s="13"/>
      <c r="M3" s="13"/>
      <c r="N3" s="13"/>
      <c r="O3" s="13"/>
      <c r="P3" s="13"/>
      <c r="Q3" s="15"/>
      <c r="R3" s="70"/>
      <c r="S3" s="70"/>
      <c r="T3" s="70"/>
    </row>
    <row r="4" spans="1:20" x14ac:dyDescent="0.25">
      <c r="A4" s="121">
        <v>2011</v>
      </c>
      <c r="B4" s="114">
        <f t="shared" si="0"/>
        <v>706.22706218617122</v>
      </c>
      <c r="C4" s="115">
        <f>('Recettes CSG (FSV)'!F4+0.2*'Recettes CSG (FSV)'!D4+0.5*'Recettes CSG (FSV)'!N4+'Recettes CSG (FSV)'!O4)/'tx (FSV)'!$B4/(1-'tx (FSV)'!I4)</f>
        <v>529.91897565515978</v>
      </c>
      <c r="D4" s="116">
        <f>('Recettes CSG (FSV)'!G4+0.5*'Recettes CSG (FSV)'!N4)/'tx (FSV)'!$B4/(1-'tx (FSV)'!I4)</f>
        <v>176.30808653101147</v>
      </c>
      <c r="E4" s="117">
        <f>('Recettes CSG (FSV)'!M4+0.2*'Recettes CSG (FSV)'!D4)/'tx (FSV)'!C4</f>
        <v>101.20005727092931</v>
      </c>
      <c r="F4" s="118">
        <f t="shared" si="1"/>
        <v>210.35786471718225</v>
      </c>
      <c r="G4" s="119">
        <f>'Recettes CSG (FSV)'!T4/'tx (FSV)'!D4/(1-'tx (FSV)'!I4)</f>
        <v>8.5472855422043388</v>
      </c>
      <c r="H4" s="120">
        <f>('Recettes CSG (FSV)'!C4-0.8*'Recettes CSG (FSV)'!D4+'Recettes CSG (FSV)'!Q4-'Recettes CSG (FSV)'!T4+'Recettes CSG (FSV)'!U4)/'tx (FSV)'!D4</f>
        <v>201.8105791749779</v>
      </c>
      <c r="I4" s="13"/>
      <c r="J4" s="13"/>
      <c r="K4" s="13"/>
      <c r="L4" s="13"/>
      <c r="M4" s="13"/>
      <c r="N4" s="13"/>
      <c r="O4" s="13"/>
      <c r="P4" s="13"/>
      <c r="Q4" s="7"/>
    </row>
    <row r="5" spans="1:20" x14ac:dyDescent="0.25">
      <c r="A5" s="121">
        <v>2010</v>
      </c>
      <c r="B5" s="77">
        <f>C5+D5</f>
        <v>696.06260091914044</v>
      </c>
      <c r="C5" s="76">
        <f>('Recettes CSG (FSV)'!F5+0.2*'Recettes CSG (FSV)'!D5+0.5*'Recettes CSG (FSV)'!N5+'Recettes CSG (FSV)'!O5)/'tx (FSV)'!$B5/(1-'tx (FSV)'!I5)</f>
        <v>522.29536703515089</v>
      </c>
      <c r="D5" s="78">
        <f>('Recettes CSG (FSV)'!G5+0.5*'Recettes CSG (FSV)'!N5)/'tx (FSV)'!$B5/(1-'tx (FSV)'!I5)</f>
        <v>173.76723388398958</v>
      </c>
      <c r="E5" s="75">
        <f>('Recettes CSG (FSV)'!M5+0.2*'Recettes CSG (FSV)'!D5)/'tx (FSV)'!C5</f>
        <v>98.235294117647044</v>
      </c>
      <c r="F5" s="65">
        <f>G5+H5</f>
        <v>205.07822922983624</v>
      </c>
      <c r="G5" s="71">
        <f>'Recettes CSG (FSV)'!T5/'tx (FSV)'!D5/(1-'tx (FSV)'!I5)</f>
        <v>8.4899939357186192</v>
      </c>
      <c r="H5" s="73">
        <f>('Recettes CSG (FSV)'!C5-0.8*'Recettes CSG (FSV)'!D5+'Recettes CSG (FSV)'!Q5-'Recettes CSG (FSV)'!T5+'Recettes CSG (FSV)'!U5)/'tx (FSV)'!D5</f>
        <v>196.58823529411762</v>
      </c>
      <c r="I5" s="13"/>
      <c r="J5" s="13"/>
      <c r="K5" s="6"/>
      <c r="L5" s="6"/>
      <c r="M5" s="6"/>
      <c r="N5" s="6"/>
      <c r="O5" s="6"/>
      <c r="P5" s="6"/>
      <c r="Q5" s="7"/>
    </row>
    <row r="6" spans="1:20" x14ac:dyDescent="0.25">
      <c r="A6" s="121">
        <v>2009</v>
      </c>
      <c r="B6" s="77">
        <f t="shared" ref="B6:B18" si="2">C6+D6</f>
        <v>701.75133523785871</v>
      </c>
      <c r="C6" s="76">
        <f>('Recettes CSG (FSV)'!F6+0.2*'Recettes CSG (FSV)'!D6+0.5*'Recettes CSG (FSV)'!N6+'Recettes CSG (FSV)'!O6)/'tx (FSV)'!$B6/(1-'tx (FSV)'!I6)</f>
        <v>529.5367035150914</v>
      </c>
      <c r="D6" s="78">
        <f>('Recettes CSG (FSV)'!G6+0.5*'Recettes CSG (FSV)'!N6)/'tx (FSV)'!$B6/(1-'tx (FSV)'!I6)</f>
        <v>172.21463172276736</v>
      </c>
      <c r="E6" s="75">
        <f>('Recettes CSG (FSV)'!M6+0.2*'Recettes CSG (FSV)'!D6)/'tx (FSV)'!C6</f>
        <v>105.62352941176469</v>
      </c>
      <c r="F6" s="65">
        <f t="shared" ref="F6:F18" si="3">G6+H6</f>
        <v>197.9776834445118</v>
      </c>
      <c r="G6" s="71">
        <f>'Recettes CSG (FSV)'!T6/'tx (FSV)'!D6/(1-'tx (FSV)'!I6)</f>
        <v>7.8835657974530013</v>
      </c>
      <c r="H6" s="73">
        <f>('Recettes CSG (FSV)'!C6-0.8*'Recettes CSG (FSV)'!D6+'Recettes CSG (FSV)'!Q6-'Recettes CSG (FSV)'!T6+'Recettes CSG (FSV)'!U6)/'tx (FSV)'!D6</f>
        <v>190.09411764705879</v>
      </c>
      <c r="I6" s="13"/>
      <c r="J6" s="13"/>
      <c r="K6" s="6"/>
      <c r="L6" s="6"/>
      <c r="M6" s="6"/>
      <c r="N6" s="6"/>
      <c r="O6" s="6"/>
      <c r="P6" s="6"/>
      <c r="Q6" s="7"/>
    </row>
    <row r="7" spans="1:20" x14ac:dyDescent="0.25">
      <c r="A7" s="121">
        <v>2008</v>
      </c>
      <c r="B7" s="77">
        <f t="shared" si="2"/>
        <v>688.41957761985805</v>
      </c>
      <c r="C7" s="76">
        <f>('Recettes CSG (FSV)'!F7+0.2*'Recettes CSG (FSV)'!D7+0.5*'Recettes CSG (FSV)'!N7+'Recettes CSG (FSV)'!O7)/'tx (FSV)'!$B7/(1-'tx (FSV)'!I7)</f>
        <v>521.06896206585941</v>
      </c>
      <c r="D7" s="78">
        <f>('Recettes CSG (FSV)'!G7+0.5*'Recettes CSG (FSV)'!N7)/'tx (FSV)'!$B7/(1-'tx (FSV)'!I7)</f>
        <v>167.35061555399858</v>
      </c>
      <c r="E7" s="75">
        <f>('Recettes CSG (FSV)'!M7+0.2*'Recettes CSG (FSV)'!D7)/'tx (FSV)'!C7</f>
        <v>101.61904761904761</v>
      </c>
      <c r="F7" s="65">
        <f t="shared" si="3"/>
        <v>187.82228767795777</v>
      </c>
      <c r="G7" s="71">
        <f>'Recettes CSG (FSV)'!T7/'tx (FSV)'!D7/(1-'tx (FSV)'!I7)</f>
        <v>6.7746686303387333</v>
      </c>
      <c r="H7" s="73">
        <f>('Recettes CSG (FSV)'!C7-0.8*'Recettes CSG (FSV)'!D7+'Recettes CSG (FSV)'!Q7-'Recettes CSG (FSV)'!T7+'Recettes CSG (FSV)'!U7)/'tx (FSV)'!D7</f>
        <v>181.04761904761904</v>
      </c>
      <c r="I7" s="13"/>
      <c r="J7" s="13"/>
      <c r="K7" s="6"/>
      <c r="L7" s="6"/>
      <c r="M7" s="6"/>
      <c r="N7" s="6"/>
      <c r="O7" s="6"/>
      <c r="P7" s="6"/>
      <c r="Q7" s="7"/>
    </row>
    <row r="8" spans="1:20" x14ac:dyDescent="0.25">
      <c r="A8" s="121">
        <v>2007</v>
      </c>
      <c r="B8" s="77">
        <f t="shared" si="2"/>
        <v>660.99489540586535</v>
      </c>
      <c r="C8" s="76">
        <f>('Recettes CSG (FSV)'!F8+0.2*'Recettes CSG (FSV)'!D8+0.5*'Recettes CSG (FSV)'!N8+'Recettes CSG (FSV)'!O8)/'tx (FSV)'!$B8/(1-'tx (FSV)'!I8)</f>
        <v>496.04644179761789</v>
      </c>
      <c r="D8" s="78">
        <f>('Recettes CSG (FSV)'!G8+0.5*'Recettes CSG (FSV)'!N8)/'tx (FSV)'!$B8/(1-'tx (FSV)'!I8)</f>
        <v>164.94845360824743</v>
      </c>
      <c r="E8" s="75">
        <f>('Recettes CSG (FSV)'!M8+0.2*'Recettes CSG (FSV)'!D8)/'tx (FSV)'!C8</f>
        <v>87.619047619047606</v>
      </c>
      <c r="F8" s="65">
        <f t="shared" si="3"/>
        <v>178.4113892979872</v>
      </c>
      <c r="G8" s="71">
        <f>'Recettes CSG (FSV)'!T8/'tx (FSV)'!D8/(1-'tx (FSV)'!I8)</f>
        <v>7.3637702503681881</v>
      </c>
      <c r="H8" s="73">
        <f>('Recettes CSG (FSV)'!C8-0.8*'Recettes CSG (FSV)'!D8+'Recettes CSG (FSV)'!Q8-'Recettes CSG (FSV)'!T8+'Recettes CSG (FSV)'!U8)/'tx (FSV)'!D8</f>
        <v>171.04761904761901</v>
      </c>
      <c r="I8" s="13"/>
      <c r="J8" s="13"/>
      <c r="K8" s="6"/>
      <c r="L8" s="6"/>
      <c r="M8" s="6"/>
      <c r="N8" s="6"/>
      <c r="O8" s="6"/>
      <c r="P8" s="6"/>
      <c r="Q8" s="7"/>
    </row>
    <row r="9" spans="1:20" x14ac:dyDescent="0.25">
      <c r="A9" s="121">
        <v>2006</v>
      </c>
      <c r="B9" s="77">
        <f t="shared" si="2"/>
        <v>637.35762185967371</v>
      </c>
      <c r="C9" s="76">
        <f>('Recettes CSG (FSV)'!F9+0.2*'Recettes CSG (FSV)'!D9+0.5*'Recettes CSG (FSV)'!N9+'Recettes CSG (FSV)'!O9)/'tx (FSV)'!$B9/(1-'tx (FSV)'!I9)</f>
        <v>476.66099489540585</v>
      </c>
      <c r="D9" s="78">
        <f>('Recettes CSG (FSV)'!G9+0.5*'Recettes CSG (FSV)'!N9)/'tx (FSV)'!$B9/(1-'tx (FSV)'!I9)</f>
        <v>160.69662696426784</v>
      </c>
      <c r="E9" s="75">
        <f>('Recettes CSG (FSV)'!M9+0.2*'Recettes CSG (FSV)'!D9)/'tx (FSV)'!C9</f>
        <v>83.980952380952374</v>
      </c>
      <c r="F9" s="65">
        <f t="shared" si="3"/>
        <v>171.74837506136473</v>
      </c>
      <c r="G9" s="71">
        <f>'Recettes CSG (FSV)'!T9/'tx (FSV)'!D9/(1-'tx (FSV)'!I9)</f>
        <v>8.247422680412372</v>
      </c>
      <c r="H9" s="73">
        <f>('Recettes CSG (FSV)'!C9-0.8*'Recettes CSG (FSV)'!D9+'Recettes CSG (FSV)'!Q9-'Recettes CSG (FSV)'!T9+'Recettes CSG (FSV)'!U9)/'tx (FSV)'!D9</f>
        <v>163.50095238095236</v>
      </c>
      <c r="I9" s="13"/>
      <c r="J9" s="13"/>
      <c r="K9" s="6"/>
      <c r="L9" s="6"/>
      <c r="M9" s="6"/>
      <c r="N9" s="6"/>
      <c r="O9" s="6"/>
      <c r="P9" s="6"/>
      <c r="Q9" s="7"/>
    </row>
    <row r="10" spans="1:20" x14ac:dyDescent="0.25">
      <c r="A10" s="121">
        <v>2005</v>
      </c>
      <c r="B10" s="77">
        <f t="shared" si="2"/>
        <v>612.13792413171848</v>
      </c>
      <c r="C10" s="76">
        <f>('Recettes CSG (FSV)'!F10+0.2*'Recettes CSG (FSV)'!D10+0.5*'Recettes CSG (FSV)'!N10+'Recettes CSG (FSV)'!O10)/'tx (FSV)'!$B10/(1-'tx (FSV)'!I10)</f>
        <v>454.98298468621749</v>
      </c>
      <c r="D10" s="78">
        <f>('Recettes CSG (FSV)'!G10+0.5*'Recettes CSG (FSV)'!N10)/'tx (FSV)'!$B10/(1-'tx (FSV)'!I10)</f>
        <v>157.15493944550096</v>
      </c>
      <c r="E10" s="75">
        <f>('Recettes CSG (FSV)'!M10+0.2*'Recettes CSG (FSV)'!D10)/'tx (FSV)'!C10</f>
        <v>79.104761904761901</v>
      </c>
      <c r="F10" s="65">
        <f t="shared" si="3"/>
        <v>161.43938144329897</v>
      </c>
      <c r="G10" s="71">
        <f>'Recettes CSG (FSV)'!T10/'tx (FSV)'!D10/(1-'tx (FSV)'!I10)</f>
        <v>8.8365243004418268</v>
      </c>
      <c r="H10" s="73">
        <f>('Recettes CSG (FSV)'!C10-0.8*'Recettes CSG (FSV)'!D10+'Recettes CSG (FSV)'!Q10-'Recettes CSG (FSV)'!T10+'Recettes CSG (FSV)'!U10)/'tx (FSV)'!D10</f>
        <v>152.60285714285715</v>
      </c>
      <c r="I10" s="13"/>
      <c r="J10" s="13"/>
      <c r="K10" s="6"/>
      <c r="L10" s="6"/>
      <c r="M10" s="6"/>
      <c r="N10" s="6"/>
      <c r="O10" s="6"/>
      <c r="P10" s="6"/>
      <c r="Q10" s="7"/>
    </row>
    <row r="11" spans="1:20" x14ac:dyDescent="0.25">
      <c r="A11" s="121">
        <v>2004</v>
      </c>
      <c r="B11" s="77">
        <f t="shared" si="2"/>
        <v>592.93734335839599</v>
      </c>
      <c r="C11" s="76">
        <f>('Recettes CSG (FSV)'!F11+0.2*'Recettes CSG (FSV)'!D11+0.5*'Recettes CSG (FSV)'!N11+'Recettes CSG (FSV)'!O11)/'tx (FSV)'!$B11/(1-'tx (FSV)'!I11)</f>
        <v>440.86967418546374</v>
      </c>
      <c r="D11" s="78">
        <f>('Recettes CSG (FSV)'!G11+0.5*'Recettes CSG (FSV)'!N11)/'tx (FSV)'!$B11/(1-'tx (FSV)'!I11)</f>
        <v>152.06766917293231</v>
      </c>
      <c r="E11" s="75">
        <f>('Recettes CSG (FSV)'!M11+0.2*'Recettes CSG (FSV)'!D11)/'tx (FSV)'!C11</f>
        <v>75.599999999999994</v>
      </c>
      <c r="F11" s="65">
        <f t="shared" si="3"/>
        <v>154.07493734335841</v>
      </c>
      <c r="G11" s="71">
        <f>'Recettes CSG (FSV)'!T11/'tx (FSV)'!D11/(1-'tx (FSV)'!I11)</f>
        <v>9.022556390977444</v>
      </c>
      <c r="H11" s="73">
        <f>('Recettes CSG (FSV)'!C11-0.8*'Recettes CSG (FSV)'!D11+'Recettes CSG (FSV)'!Q11-'Recettes CSG (FSV)'!T11+'Recettes CSG (FSV)'!U11)/'tx (FSV)'!D11</f>
        <v>145.05238095238096</v>
      </c>
      <c r="I11" s="13"/>
      <c r="J11" s="13"/>
      <c r="K11" s="13"/>
      <c r="L11" s="13"/>
      <c r="M11" s="13"/>
      <c r="N11" s="13"/>
      <c r="O11" s="13"/>
      <c r="P11" s="13"/>
      <c r="Q11" s="13"/>
    </row>
    <row r="12" spans="1:20" x14ac:dyDescent="0.25">
      <c r="A12" s="121">
        <v>2003</v>
      </c>
      <c r="B12" s="77">
        <f t="shared" si="2"/>
        <v>575.64711779448612</v>
      </c>
      <c r="C12" s="76">
        <f>('Recettes CSG (FSV)'!F12+0.2*'Recettes CSG (FSV)'!D12+0.5*'Recettes CSG (FSV)'!N12+'Recettes CSG (FSV)'!O12)/'tx (FSV)'!$B12/(1-'tx (FSV)'!I12)</f>
        <v>426.27969924812027</v>
      </c>
      <c r="D12" s="78">
        <f>('Recettes CSG (FSV)'!G12+0.5*'Recettes CSG (FSV)'!N12)/'tx (FSV)'!$B12/(1-'tx (FSV)'!I12)</f>
        <v>149.36741854636591</v>
      </c>
      <c r="E12" s="75">
        <f>('Recettes CSG (FSV)'!M12+0.2*'Recettes CSG (FSV)'!D12)/'tx (FSV)'!C12</f>
        <v>75.257142857142853</v>
      </c>
      <c r="F12" s="65">
        <f t="shared" si="3"/>
        <v>152.25102756892227</v>
      </c>
      <c r="G12" s="71">
        <f>'Recettes CSG (FSV)'!T12/'tx (FSV)'!D12/(1-'tx (FSV)'!I12)</f>
        <v>8.2205513784461157</v>
      </c>
      <c r="H12" s="73">
        <f>('Recettes CSG (FSV)'!C12-0.8*'Recettes CSG (FSV)'!D12+'Recettes CSG (FSV)'!Q12-'Recettes CSG (FSV)'!T12+'Recettes CSG (FSV)'!U12)/'tx (FSV)'!D12</f>
        <v>144.03047619047615</v>
      </c>
      <c r="I12" s="13"/>
      <c r="J12" s="13"/>
      <c r="K12" s="13"/>
      <c r="L12" s="13"/>
      <c r="M12" s="13"/>
      <c r="N12" s="13"/>
      <c r="O12" s="13"/>
      <c r="P12" s="13"/>
      <c r="Q12" s="13"/>
    </row>
    <row r="13" spans="1:20" x14ac:dyDescent="0.25">
      <c r="A13" s="121">
        <v>2002</v>
      </c>
      <c r="B13" s="77">
        <f t="shared" si="2"/>
        <v>569.97192982456147</v>
      </c>
      <c r="C13" s="76">
        <f>('Recettes CSG (FSV)'!F13+0.2*'Recettes CSG (FSV)'!D13+0.5*'Recettes CSG (FSV)'!N13+'Recettes CSG (FSV)'!O13)/'tx (FSV)'!$B13/(1-'tx (FSV)'!I13)</f>
        <v>424.39448621553885</v>
      </c>
      <c r="D13" s="78">
        <f>('Recettes CSG (FSV)'!G13+0.5*'Recettes CSG (FSV)'!N13)/'tx (FSV)'!$B13/(1-'tx (FSV)'!I13)</f>
        <v>145.57744360902259</v>
      </c>
      <c r="E13" s="75">
        <f>('Recettes CSG (FSV)'!M13+0.2*'Recettes CSG (FSV)'!D13)/'tx (FSV)'!C13</f>
        <v>74.209523809523802</v>
      </c>
      <c r="F13" s="65">
        <f t="shared" si="3"/>
        <v>143.71764411027567</v>
      </c>
      <c r="G13" s="71">
        <f>'Recettes CSG (FSV)'!T13/'tx (FSV)'!D13/(1-'tx (FSV)'!I13)</f>
        <v>7.8195488721804507</v>
      </c>
      <c r="H13" s="73">
        <f>('Recettes CSG (FSV)'!C13-0.8*'Recettes CSG (FSV)'!D13+'Recettes CSG (FSV)'!Q13-'Recettes CSG (FSV)'!T13+'Recettes CSG (FSV)'!U13)/'tx (FSV)'!D13</f>
        <v>135.89809523809521</v>
      </c>
      <c r="I13" s="13"/>
      <c r="J13" s="13"/>
      <c r="K13" s="13"/>
      <c r="L13" s="13"/>
      <c r="M13" s="13"/>
      <c r="N13" s="13"/>
      <c r="O13" s="13"/>
      <c r="P13" s="13"/>
      <c r="Q13" s="13"/>
    </row>
    <row r="14" spans="1:20" x14ac:dyDescent="0.25">
      <c r="A14" s="121">
        <v>2001</v>
      </c>
      <c r="B14" s="77">
        <f t="shared" si="2"/>
        <v>541.23536594352242</v>
      </c>
      <c r="C14" s="76">
        <f>('Recettes CSG (FSV)'!F14+0.2*'Recettes CSG (FSV)'!D14+0.5*'Recettes CSG (FSV)'!N14+'Recettes CSG (FSV)'!O14)/'tx (FSV)'!$B14/(1-'tx (FSV)'!I14)</f>
        <v>410.37487381486108</v>
      </c>
      <c r="D14" s="78">
        <f>('Recettes CSG (FSV)'!G14+0.5*'Recettes CSG (FSV)'!N14)/'tx (FSV)'!$B14/(1-'tx (FSV)'!I14)</f>
        <v>130.86049212866132</v>
      </c>
      <c r="E14" s="75">
        <f>('Recettes CSG (FSV)'!M14+0.2*'Recettes CSG (FSV)'!D14)/'tx (FSV)'!C14</f>
        <v>69.939945268151519</v>
      </c>
      <c r="F14" s="65">
        <f t="shared" si="3"/>
        <v>143.23367316079828</v>
      </c>
      <c r="G14" s="71">
        <f>'Recettes CSG (FSV)'!T14/'tx (FSV)'!D14/(1-'tx (FSV)'!I14)</f>
        <v>6.6700805711196489</v>
      </c>
      <c r="H14" s="73">
        <f>('Recettes CSG (FSV)'!C14-0.8*'Recettes CSG (FSV)'!D14+'Recettes CSG (FSV)'!Q14-'Recettes CSG (FSV)'!T14+'Recettes CSG (FSV)'!U14)/'tx (FSV)'!D14</f>
        <v>136.56359258967862</v>
      </c>
      <c r="I14" s="13"/>
      <c r="J14" s="13"/>
      <c r="K14" s="13"/>
      <c r="L14" s="13"/>
      <c r="M14" s="13"/>
      <c r="N14" s="13"/>
      <c r="O14" s="13"/>
      <c r="P14" s="13"/>
      <c r="Q14" s="13"/>
    </row>
    <row r="15" spans="1:20" x14ac:dyDescent="0.25">
      <c r="A15" s="121">
        <v>2000</v>
      </c>
      <c r="B15" s="77">
        <f t="shared" si="2"/>
        <v>507.59425426196384</v>
      </c>
      <c r="C15" s="76">
        <f>('Recettes CSG (FSV)'!F15+0.2*'Recettes CSG (FSV)'!D15+0.5*'Recettes CSG (FSV)'!N15+'Recettes CSG (FSV)'!O15)/'tx (FSV)'!$B15/(1-'tx (FSV)'!I15)</f>
        <v>381.81208819362047</v>
      </c>
      <c r="D15" s="78">
        <f>('Recettes CSG (FSV)'!G15+0.5*'Recettes CSG (FSV)'!N15)/'tx (FSV)'!$B15/(1-'tx (FSV)'!I15)</f>
        <v>125.78216606834339</v>
      </c>
      <c r="E15" s="75">
        <f>('Recettes CSG (FSV)'!M15+0.2*'Recettes CSG (FSV)'!D15)/'tx (FSV)'!C15</f>
        <v>61.732007574136254</v>
      </c>
      <c r="F15" s="65">
        <f t="shared" si="3"/>
        <v>143.04535946209916</v>
      </c>
      <c r="G15" s="71">
        <f>'Recettes CSG (FSV)'!T15/'tx (FSV)'!D15/(1-'tx (FSV)'!I15)</f>
        <v>6.2337452392625297</v>
      </c>
      <c r="H15" s="73">
        <f>('Recettes CSG (FSV)'!C15-0.8*'Recettes CSG (FSV)'!D15+'Recettes CSG (FSV)'!Q15-'Recettes CSG (FSV)'!T15+'Recettes CSG (FSV)'!U15)/'tx (FSV)'!D15</f>
        <v>136.81161422283662</v>
      </c>
      <c r="I15" s="13"/>
      <c r="J15" s="13"/>
      <c r="K15" s="13"/>
      <c r="L15" s="13"/>
      <c r="M15" s="13"/>
      <c r="N15" s="13"/>
      <c r="O15" s="13"/>
      <c r="P15" s="13"/>
      <c r="Q15" s="13"/>
    </row>
    <row r="16" spans="1:20" x14ac:dyDescent="0.25">
      <c r="A16" s="121">
        <v>1999</v>
      </c>
      <c r="B16" s="77">
        <f t="shared" si="2"/>
        <v>483.50878435616823</v>
      </c>
      <c r="C16" s="76">
        <f>('Recettes CSG (FSV)'!F16+0.2*'Recettes CSG (FSV)'!D16+0.5*'Recettes CSG (FSV)'!N16+'Recettes CSG (FSV)'!O16)/'tx (FSV)'!$B16/(1-'tx (FSV)'!I16)</f>
        <v>361.63116473659937</v>
      </c>
      <c r="D16" s="78">
        <f>('Recettes CSG (FSV)'!G16+0.5*'Recettes CSG (FSV)'!N16)/'tx (FSV)'!$B16/(1-'tx (FSV)'!I16)</f>
        <v>121.87761961956888</v>
      </c>
      <c r="E16" s="75">
        <f>('Recettes CSG (FSV)'!M16+0.2*'Recettes CSG (FSV)'!D16)/'tx (FSV)'!C16</f>
        <v>56.929153775440966</v>
      </c>
      <c r="F16" s="65">
        <f t="shared" si="3"/>
        <v>133.24758827043439</v>
      </c>
      <c r="G16" s="71">
        <f>'Recettes CSG (FSV)'!T16/'tx (FSV)'!D16/(1-'tx (FSV)'!I16)</f>
        <v>6.9867322879655287</v>
      </c>
      <c r="H16" s="73">
        <f>('Recettes CSG (FSV)'!C16-0.8*'Recettes CSG (FSV)'!D16+'Recettes CSG (FSV)'!Q16-'Recettes CSG (FSV)'!T16+'Recettes CSG (FSV)'!U16)/'tx (FSV)'!D16</f>
        <v>126.26085598246887</v>
      </c>
      <c r="I16" s="13"/>
      <c r="J16" s="13"/>
      <c r="K16" s="13"/>
      <c r="L16" s="13"/>
      <c r="M16" s="13"/>
      <c r="N16" s="13"/>
      <c r="O16" s="13"/>
      <c r="P16" s="13"/>
      <c r="Q16" s="13"/>
    </row>
    <row r="17" spans="1:17" x14ac:dyDescent="0.25">
      <c r="A17" s="121">
        <v>1998</v>
      </c>
      <c r="B17" s="77">
        <f t="shared" si="2"/>
        <v>437.61150804672519</v>
      </c>
      <c r="C17" s="76">
        <f>('Recettes CSG (FSV)'!F17+0.2*'Recettes CSG (FSV)'!D17+0.5*'Recettes CSG (FSV)'!N17+'Recettes CSG (FSV)'!O17)/'tx (FSV)'!$B17/(1-'tx (FSV)'!I17)</f>
        <v>328.98750972857732</v>
      </c>
      <c r="D17" s="78">
        <f>('Recettes CSG (FSV)'!G17+0.5*'Recettes CSG (FSV)'!N17)/'tx (FSV)'!$B17/(1-'tx (FSV)'!I17)</f>
        <v>108.62399831814788</v>
      </c>
      <c r="E17" s="75">
        <f>('Recettes CSG (FSV)'!M17+0.2*'Recettes CSG (FSV)'!D17)/'tx (FSV)'!C17</f>
        <v>54.633037038895964</v>
      </c>
      <c r="F17" s="65">
        <f t="shared" si="3"/>
        <v>123.39137664048647</v>
      </c>
      <c r="G17" s="71">
        <f>'Recettes CSG (FSV)'!T17/'tx (FSV)'!D17/(1-'tx (FSV)'!I17)</f>
        <v>5.8017034900067115</v>
      </c>
      <c r="H17" s="73">
        <f>('Recettes CSG (FSV)'!C17-0.8*'Recettes CSG (FSV)'!D17+'Recettes CSG (FSV)'!Q17-'Recettes CSG (FSV)'!T17+'Recettes CSG (FSV)'!U17)/'tx (FSV)'!D17</f>
        <v>117.58967315047975</v>
      </c>
      <c r="I17" s="13"/>
      <c r="J17" s="13"/>
      <c r="K17" s="13"/>
      <c r="L17" s="13"/>
      <c r="M17" s="13"/>
      <c r="N17" s="13"/>
      <c r="O17" s="13"/>
      <c r="P17" s="13"/>
      <c r="Q17" s="13"/>
    </row>
    <row r="18" spans="1:17" ht="15.75" thickBot="1" x14ac:dyDescent="0.3">
      <c r="A18" s="122">
        <v>1997</v>
      </c>
      <c r="B18" s="107">
        <f t="shared" si="2"/>
        <v>435.8512046782555</v>
      </c>
      <c r="C18" s="108">
        <f>('Recettes CSG (FSV)'!F18+0.2*'Recettes CSG (FSV)'!D18+0.5*'Recettes CSG (FSV)'!N18+'Recettes CSG (FSV)'!O18)/'tx (FSV)'!$B18/(1-'tx (FSV)'!I18)</f>
        <v>327.46889755948507</v>
      </c>
      <c r="D18" s="109">
        <f>('Recettes CSG (FSV)'!G18+0.5*'Recettes CSG (FSV)'!N18)/'tx (FSV)'!$B18/(1-'tx (FSV)'!I18)</f>
        <v>108.38230711877043</v>
      </c>
      <c r="E18" s="110">
        <f>('Recettes CSG (FSV)'!M18+0.2*'Recettes CSG (FSV)'!D18)/'tx (FSV)'!C18</f>
        <v>53.764200974960175</v>
      </c>
      <c r="F18" s="111">
        <f t="shared" si="3"/>
        <v>118.85058589676652</v>
      </c>
      <c r="G18" s="112">
        <f>'Recettes CSG (FSV)'!T18/'tx (FSV)'!D18/(1-'tx (FSV)'!I18)</f>
        <v>5.7887945500243587</v>
      </c>
      <c r="H18" s="113">
        <f>('Recettes CSG (FSV)'!C18-0.8*'Recettes CSG (FSV)'!D18+'Recettes CSG (FSV)'!Q18-'Recettes CSG (FSV)'!T18+'Recettes CSG (FSV)'!U18)/'tx (FSV)'!D18</f>
        <v>113.06179134674215</v>
      </c>
      <c r="I18" s="13"/>
      <c r="J18" s="13"/>
      <c r="K18" s="13"/>
      <c r="L18" s="13"/>
      <c r="M18" s="13"/>
      <c r="N18" s="13"/>
      <c r="O18" s="13"/>
      <c r="P18" s="13"/>
      <c r="Q18" s="13"/>
    </row>
    <row r="20" spans="1:17" x14ac:dyDescent="0.25">
      <c r="B20" s="82" t="s">
        <v>121</v>
      </c>
    </row>
    <row r="21" spans="1:17" x14ac:dyDescent="0.25">
      <c r="B21" t="s">
        <v>113</v>
      </c>
    </row>
    <row r="22" spans="1:17" x14ac:dyDescent="0.25">
      <c r="B22" t="s">
        <v>112</v>
      </c>
    </row>
    <row r="23" spans="1:17" x14ac:dyDescent="0.25">
      <c r="B23" t="s">
        <v>115</v>
      </c>
    </row>
    <row r="24" spans="1:17" x14ac:dyDescent="0.25">
      <c r="B24" t="s">
        <v>114</v>
      </c>
    </row>
    <row r="25" spans="1:17" x14ac:dyDescent="0.25">
      <c r="B25" t="s">
        <v>116</v>
      </c>
    </row>
    <row r="27" spans="1:17" x14ac:dyDescent="0.25">
      <c r="B27" t="s">
        <v>117</v>
      </c>
    </row>
    <row r="29" spans="1:17" x14ac:dyDescent="0.25">
      <c r="B29" s="98"/>
      <c r="C29" t="s">
        <v>130</v>
      </c>
    </row>
  </sheetData>
  <mergeCells count="1">
    <mergeCell ref="A1:H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pane xSplit="1" ySplit="2" topLeftCell="B3" activePane="bottomRight" state="frozen"/>
      <selection pane="topRight" activeCell="B1" sqref="B1"/>
      <selection pane="bottomLeft" activeCell="A2" sqref="A2"/>
      <selection pane="bottomRight" activeCell="F10" sqref="F10"/>
    </sheetView>
  </sheetViews>
  <sheetFormatPr baseColWidth="10" defaultRowHeight="15" x14ac:dyDescent="0.25"/>
  <cols>
    <col min="2" max="2" width="13.5703125" bestFit="1" customWidth="1"/>
    <col min="3" max="3" width="12.5703125" bestFit="1" customWidth="1"/>
    <col min="4" max="4" width="18" customWidth="1"/>
  </cols>
  <sheetData>
    <row r="1" spans="1:5" x14ac:dyDescent="0.25">
      <c r="A1" s="236"/>
      <c r="B1" s="274" t="s">
        <v>227</v>
      </c>
      <c r="C1" s="274"/>
      <c r="D1" s="135" t="s">
        <v>228</v>
      </c>
    </row>
    <row r="2" spans="1:5" x14ac:dyDescent="0.25">
      <c r="A2" s="124" t="s">
        <v>14</v>
      </c>
      <c r="B2" s="124" t="s">
        <v>220</v>
      </c>
      <c r="C2" s="135" t="s">
        <v>221</v>
      </c>
      <c r="D2" s="135" t="s">
        <v>221</v>
      </c>
    </row>
    <row r="3" spans="1:5" x14ac:dyDescent="0.25">
      <c r="A3" s="5">
        <v>2012</v>
      </c>
      <c r="B3" s="237">
        <v>88863</v>
      </c>
      <c r="C3" s="239">
        <v>6455</v>
      </c>
      <c r="D3" s="228">
        <f>C3/0.005/1000</f>
        <v>1291</v>
      </c>
      <c r="E3" s="242"/>
    </row>
    <row r="4" spans="1:5" x14ac:dyDescent="0.25">
      <c r="A4" s="5">
        <v>2011</v>
      </c>
      <c r="B4" s="237">
        <v>86400</v>
      </c>
      <c r="C4" s="239">
        <v>6277</v>
      </c>
      <c r="D4" s="228">
        <f t="shared" ref="D4:D17" si="0">C4/0.005/1000</f>
        <v>1255.4000000000001</v>
      </c>
      <c r="E4" s="242"/>
    </row>
    <row r="5" spans="1:5" x14ac:dyDescent="0.25">
      <c r="A5" s="5">
        <v>2010</v>
      </c>
      <c r="B5" s="238">
        <v>81818</v>
      </c>
      <c r="C5" s="239">
        <v>5852</v>
      </c>
      <c r="D5" s="228">
        <f t="shared" si="0"/>
        <v>1170.4000000000001</v>
      </c>
      <c r="E5" s="242"/>
    </row>
    <row r="6" spans="1:5" x14ac:dyDescent="0.25">
      <c r="A6" s="5">
        <v>2009</v>
      </c>
      <c r="B6" s="238">
        <v>82036</v>
      </c>
      <c r="C6" s="239">
        <v>5938</v>
      </c>
      <c r="D6" s="228">
        <f t="shared" si="0"/>
        <v>1187.5999999999999</v>
      </c>
      <c r="E6" s="242"/>
    </row>
    <row r="7" spans="1:5" x14ac:dyDescent="0.25">
      <c r="A7" s="5">
        <v>2008</v>
      </c>
      <c r="B7" s="238">
        <v>82253</v>
      </c>
      <c r="C7" s="239">
        <v>6026</v>
      </c>
      <c r="D7" s="228">
        <f t="shared" si="0"/>
        <v>1205.2</v>
      </c>
      <c r="E7" s="242"/>
    </row>
    <row r="8" spans="1:5" x14ac:dyDescent="0.25">
      <c r="A8" s="5">
        <v>2007</v>
      </c>
      <c r="B8" s="238">
        <v>79686</v>
      </c>
      <c r="C8" s="239">
        <v>5728</v>
      </c>
      <c r="D8" s="228">
        <f t="shared" si="0"/>
        <v>1145.5999999999999</v>
      </c>
      <c r="E8" s="242"/>
    </row>
    <row r="9" spans="1:5" x14ac:dyDescent="0.25">
      <c r="A9" s="5">
        <v>2006</v>
      </c>
      <c r="B9" s="238">
        <v>76441</v>
      </c>
      <c r="C9" s="239">
        <v>5479</v>
      </c>
      <c r="D9" s="228">
        <f t="shared" si="0"/>
        <v>1095.8</v>
      </c>
      <c r="E9" s="242"/>
    </row>
    <row r="10" spans="1:5" x14ac:dyDescent="0.25">
      <c r="A10" s="5">
        <v>2005</v>
      </c>
      <c r="B10" s="238">
        <v>71700</v>
      </c>
      <c r="C10" s="239">
        <v>5181</v>
      </c>
      <c r="D10" s="228">
        <f t="shared" si="0"/>
        <v>1036.2</v>
      </c>
      <c r="E10" s="242"/>
    </row>
    <row r="11" spans="1:5" x14ac:dyDescent="0.25">
      <c r="A11" s="5">
        <v>2004</v>
      </c>
      <c r="B11" s="237">
        <v>66802</v>
      </c>
      <c r="C11" s="239">
        <v>4903</v>
      </c>
      <c r="D11" s="228">
        <f t="shared" si="0"/>
        <v>980.6</v>
      </c>
      <c r="E11" s="242"/>
    </row>
    <row r="12" spans="1:5" x14ac:dyDescent="0.25">
      <c r="A12" s="5">
        <v>2003</v>
      </c>
      <c r="B12" s="237">
        <v>64896</v>
      </c>
      <c r="C12" s="239">
        <v>4700</v>
      </c>
      <c r="D12" s="228">
        <f t="shared" si="0"/>
        <v>940</v>
      </c>
      <c r="E12" s="242"/>
    </row>
    <row r="13" spans="1:5" x14ac:dyDescent="0.25">
      <c r="A13" s="5">
        <v>2002</v>
      </c>
      <c r="B13" s="237">
        <v>63035</v>
      </c>
      <c r="C13" s="239">
        <v>4645</v>
      </c>
      <c r="D13" s="228">
        <f t="shared" si="0"/>
        <v>929</v>
      </c>
      <c r="E13" s="242"/>
    </row>
    <row r="14" spans="1:5" x14ac:dyDescent="0.25">
      <c r="A14" s="5">
        <v>2001</v>
      </c>
      <c r="B14" s="237">
        <v>60987</v>
      </c>
      <c r="C14" s="239">
        <v>4544</v>
      </c>
      <c r="D14" s="228">
        <f t="shared" si="0"/>
        <v>908.8</v>
      </c>
      <c r="E14" s="242"/>
    </row>
    <row r="15" spans="1:5" x14ac:dyDescent="0.25">
      <c r="A15" s="5">
        <v>2000</v>
      </c>
      <c r="B15" s="240">
        <v>379944</v>
      </c>
      <c r="C15" s="241">
        <v>29527</v>
      </c>
      <c r="D15" s="220">
        <f t="shared" si="0"/>
        <v>5905.4</v>
      </c>
    </row>
    <row r="16" spans="1:5" x14ac:dyDescent="0.25">
      <c r="A16" s="5">
        <v>1999</v>
      </c>
      <c r="B16" s="240">
        <v>356609</v>
      </c>
      <c r="C16" s="241">
        <v>27637</v>
      </c>
      <c r="D16" s="220">
        <f t="shared" si="0"/>
        <v>5527.4</v>
      </c>
    </row>
    <row r="17" spans="1:4" x14ac:dyDescent="0.25">
      <c r="A17" s="5">
        <v>1998</v>
      </c>
      <c r="B17" s="240">
        <v>318640</v>
      </c>
      <c r="C17" s="241">
        <v>26650</v>
      </c>
      <c r="D17" s="220">
        <f t="shared" si="0"/>
        <v>5330</v>
      </c>
    </row>
    <row r="18" spans="1:4" x14ac:dyDescent="0.25">
      <c r="A18" s="5">
        <v>1997</v>
      </c>
      <c r="B18" s="13"/>
    </row>
    <row r="20" spans="1:4" x14ac:dyDescent="0.25">
      <c r="B20" s="82" t="s">
        <v>222</v>
      </c>
    </row>
    <row r="21" spans="1:4" x14ac:dyDescent="0.25">
      <c r="B21" t="s">
        <v>223</v>
      </c>
    </row>
    <row r="23" spans="1:4" x14ac:dyDescent="0.25">
      <c r="B23" s="82" t="s">
        <v>224</v>
      </c>
    </row>
    <row r="24" spans="1:4" x14ac:dyDescent="0.25">
      <c r="B24" t="s">
        <v>225</v>
      </c>
    </row>
  </sheetData>
  <mergeCells count="1">
    <mergeCell ref="B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
  <sheetViews>
    <sheetView workbookViewId="0">
      <pane xSplit="1" ySplit="1" topLeftCell="B2" activePane="bottomRight" state="frozen"/>
      <selection pane="topRight" activeCell="B1" sqref="B1"/>
      <selection pane="bottomLeft" activeCell="A2" sqref="A2"/>
      <selection pane="bottomRight" activeCell="B17" sqref="B17"/>
    </sheetView>
  </sheetViews>
  <sheetFormatPr baseColWidth="10" defaultRowHeight="15" x14ac:dyDescent="0.25"/>
  <cols>
    <col min="6" max="6" width="11.42578125" customWidth="1"/>
    <col min="9" max="9" width="14" customWidth="1"/>
    <col min="17" max="17" width="18.140625" customWidth="1"/>
    <col min="18" max="18" width="42.42578125" customWidth="1"/>
    <col min="21" max="21" width="18.140625" customWidth="1"/>
    <col min="22" max="22" width="19" customWidth="1"/>
    <col min="23" max="23" width="18.42578125" customWidth="1"/>
    <col min="25" max="25" width="33" customWidth="1"/>
    <col min="26" max="26" width="18.28515625" customWidth="1"/>
    <col min="27" max="27" width="17.5703125" customWidth="1"/>
    <col min="28" max="28" width="11.42578125" customWidth="1"/>
  </cols>
  <sheetData>
    <row r="1" spans="1:29" ht="106.5" customHeight="1" x14ac:dyDescent="0.25">
      <c r="A1" s="3" t="s">
        <v>14</v>
      </c>
      <c r="B1" s="3" t="s">
        <v>0</v>
      </c>
      <c r="C1" s="3" t="s">
        <v>1</v>
      </c>
      <c r="D1" s="2" t="s">
        <v>11</v>
      </c>
      <c r="E1" s="2" t="s">
        <v>26</v>
      </c>
      <c r="F1" s="2" t="s">
        <v>27</v>
      </c>
      <c r="G1" s="2" t="s">
        <v>28</v>
      </c>
      <c r="H1" s="2" t="s">
        <v>29</v>
      </c>
      <c r="I1" s="3" t="s">
        <v>2</v>
      </c>
      <c r="J1" s="3" t="s">
        <v>3</v>
      </c>
      <c r="K1" s="3" t="s">
        <v>4</v>
      </c>
      <c r="L1" s="3" t="s">
        <v>5</v>
      </c>
      <c r="M1" s="3" t="s">
        <v>6</v>
      </c>
      <c r="N1" s="3" t="s">
        <v>7</v>
      </c>
      <c r="O1" s="3" t="s">
        <v>32</v>
      </c>
      <c r="P1" s="3" t="s">
        <v>31</v>
      </c>
      <c r="Q1" s="3" t="s">
        <v>10</v>
      </c>
      <c r="R1" s="3" t="s">
        <v>12</v>
      </c>
      <c r="U1" s="124" t="s">
        <v>229</v>
      </c>
      <c r="V1" s="124" t="s">
        <v>230</v>
      </c>
      <c r="W1" s="124" t="s">
        <v>231</v>
      </c>
      <c r="Y1" s="244" t="s">
        <v>233</v>
      </c>
      <c r="Z1" s="124" t="s">
        <v>14</v>
      </c>
      <c r="AA1" s="124" t="s">
        <v>229</v>
      </c>
      <c r="AB1" s="124" t="s">
        <v>230</v>
      </c>
      <c r="AC1" s="124" t="s">
        <v>231</v>
      </c>
    </row>
    <row r="2" spans="1:29" x14ac:dyDescent="0.25">
      <c r="A2" s="5">
        <v>2012</v>
      </c>
      <c r="B2" s="13">
        <v>88.751000000000005</v>
      </c>
      <c r="C2" s="13">
        <v>62.725000000000001</v>
      </c>
      <c r="D2" s="13"/>
      <c r="E2" s="13"/>
      <c r="F2" s="13"/>
      <c r="G2" s="13"/>
      <c r="H2" s="13"/>
      <c r="I2" s="13">
        <v>16.02</v>
      </c>
      <c r="J2" s="13">
        <v>9.4659999999999993</v>
      </c>
      <c r="K2" s="13">
        <v>4.1440000000000001</v>
      </c>
      <c r="L2" s="13">
        <v>5.3220000000000001</v>
      </c>
      <c r="M2" s="13">
        <v>0.2</v>
      </c>
      <c r="N2" s="13">
        <v>0.34100000000000003</v>
      </c>
      <c r="O2" s="13"/>
      <c r="P2" s="13"/>
      <c r="Q2" s="7">
        <f t="shared" ref="Q2:Q3" si="0">B2-M2-N2</f>
        <v>88.210000000000008</v>
      </c>
      <c r="R2" t="s">
        <v>21</v>
      </c>
      <c r="U2" s="245">
        <f>C2/B2</f>
        <v>0.7067525999707045</v>
      </c>
      <c r="V2" s="245">
        <f>I2/B2</f>
        <v>0.18050500839427161</v>
      </c>
      <c r="W2" s="245">
        <f>J2/B2</f>
        <v>0.10665795314982365</v>
      </c>
      <c r="X2" s="245">
        <f>SUM(U2:W2)</f>
        <v>0.99391556151479976</v>
      </c>
      <c r="Z2">
        <v>1997</v>
      </c>
      <c r="AA2" s="245">
        <f>U17</f>
        <v>0.72173913043478277</v>
      </c>
      <c r="AB2" s="245">
        <f t="shared" ref="AB2:AC2" si="1">V17</f>
        <v>0.14642356241234222</v>
      </c>
      <c r="AC2" s="245">
        <f t="shared" si="1"/>
        <v>0.11079943899018233</v>
      </c>
    </row>
    <row r="3" spans="1:29" x14ac:dyDescent="0.25">
      <c r="A3" s="5">
        <v>2011</v>
      </c>
      <c r="B3" s="13">
        <v>86.39</v>
      </c>
      <c r="C3" s="13">
        <v>61.317999999999998</v>
      </c>
      <c r="D3" s="13"/>
      <c r="E3" s="13"/>
      <c r="F3" s="13"/>
      <c r="G3" s="13"/>
      <c r="H3" s="13"/>
      <c r="I3" s="13">
        <v>15.438000000000001</v>
      </c>
      <c r="J3" s="13">
        <v>9.1039999999999992</v>
      </c>
      <c r="K3" s="13">
        <v>3.9380000000000002</v>
      </c>
      <c r="L3" s="13">
        <v>5.165</v>
      </c>
      <c r="M3" s="13">
        <v>0.2</v>
      </c>
      <c r="N3" s="13">
        <v>0.33100000000000002</v>
      </c>
      <c r="O3" s="13"/>
      <c r="P3" s="13"/>
      <c r="Q3" s="7">
        <f t="shared" si="0"/>
        <v>85.858999999999995</v>
      </c>
      <c r="R3" t="s">
        <v>21</v>
      </c>
      <c r="U3" s="245">
        <f t="shared" ref="U3:U15" si="2">C3/B3</f>
        <v>0.70978122467878224</v>
      </c>
      <c r="V3" s="245">
        <f t="shared" ref="V3:V15" si="3">I3/B3</f>
        <v>0.17870123856927886</v>
      </c>
      <c r="W3" s="245">
        <f t="shared" ref="W3:W15" si="4">J3/B3</f>
        <v>0.10538256742678549</v>
      </c>
      <c r="X3" s="245">
        <f t="shared" ref="X3:X17" si="5">SUM(U3:W3)</f>
        <v>0.99386503067484666</v>
      </c>
      <c r="Z3">
        <v>1998</v>
      </c>
      <c r="AA3" s="245">
        <f>U16</f>
        <v>0.72173913043478277</v>
      </c>
      <c r="AB3" s="245">
        <f t="shared" ref="AB3:AC3" si="6">V16</f>
        <v>0.14642356241234222</v>
      </c>
      <c r="AC3" s="245">
        <f t="shared" si="6"/>
        <v>0.11079943899018233</v>
      </c>
    </row>
    <row r="4" spans="1:29" x14ac:dyDescent="0.25">
      <c r="A4" s="5">
        <v>2010</v>
      </c>
      <c r="B4" s="6">
        <v>84.006</v>
      </c>
      <c r="C4" s="6">
        <v>59.514000000000003</v>
      </c>
      <c r="D4" s="6"/>
      <c r="E4" s="6"/>
      <c r="F4" s="6"/>
      <c r="G4" s="6"/>
      <c r="H4" s="6"/>
      <c r="I4" s="6">
        <v>15.101000000000001</v>
      </c>
      <c r="J4" s="6">
        <v>8.7789999999999999</v>
      </c>
      <c r="K4" s="6">
        <v>3.7629999999999999</v>
      </c>
      <c r="L4" s="6">
        <v>5.016</v>
      </c>
      <c r="M4" s="6">
        <v>0.21199999999999999</v>
      </c>
      <c r="N4" s="6">
        <v>0.4</v>
      </c>
      <c r="O4" s="6"/>
      <c r="P4" s="6"/>
      <c r="Q4" s="7">
        <f t="shared" ref="Q4:Q14" si="7">B4-M4-N4</f>
        <v>83.393999999999991</v>
      </c>
      <c r="R4" t="s">
        <v>21</v>
      </c>
      <c r="U4" s="245">
        <f t="shared" si="2"/>
        <v>0.70844939647168059</v>
      </c>
      <c r="V4" s="245">
        <f t="shared" si="3"/>
        <v>0.17976096945456277</v>
      </c>
      <c r="W4" s="245">
        <f t="shared" si="4"/>
        <v>0.10450444015903626</v>
      </c>
      <c r="X4" s="245">
        <f t="shared" si="5"/>
        <v>0.99271480608527962</v>
      </c>
      <c r="Z4">
        <v>1999</v>
      </c>
      <c r="AA4" s="245">
        <f>U15</f>
        <v>0.72173913043478277</v>
      </c>
      <c r="AB4" s="245">
        <f t="shared" ref="AB4:AC4" si="8">V15</f>
        <v>0.14642356241234222</v>
      </c>
      <c r="AC4" s="245">
        <f t="shared" si="8"/>
        <v>0.11079943899018233</v>
      </c>
    </row>
    <row r="5" spans="1:29" x14ac:dyDescent="0.25">
      <c r="A5" s="5">
        <v>2009</v>
      </c>
      <c r="B5" s="6">
        <v>82.808999999999997</v>
      </c>
      <c r="C5" s="6">
        <v>59.314</v>
      </c>
      <c r="D5" s="6"/>
      <c r="E5" s="6"/>
      <c r="F5" s="6"/>
      <c r="G5" s="6"/>
      <c r="H5" s="6"/>
      <c r="I5" s="6">
        <v>13.851000000000001</v>
      </c>
      <c r="J5" s="6">
        <v>8.9410000000000007</v>
      </c>
      <c r="K5" s="6">
        <v>4.0999999999999996</v>
      </c>
      <c r="L5" s="6">
        <v>4.8410000000000002</v>
      </c>
      <c r="M5" s="6">
        <v>0.19700000000000001</v>
      </c>
      <c r="N5" s="6">
        <v>0.50600000000000001</v>
      </c>
      <c r="O5" s="6"/>
      <c r="P5" s="6"/>
      <c r="Q5" s="7">
        <f t="shared" si="7"/>
        <v>82.105999999999995</v>
      </c>
      <c r="R5" t="s">
        <v>20</v>
      </c>
      <c r="U5" s="245">
        <f t="shared" si="2"/>
        <v>0.7162748010481953</v>
      </c>
      <c r="V5" s="245">
        <f t="shared" si="3"/>
        <v>0.16726442777958919</v>
      </c>
      <c r="W5" s="245">
        <f t="shared" si="4"/>
        <v>0.10797135577050805</v>
      </c>
      <c r="X5" s="245">
        <f t="shared" si="5"/>
        <v>0.99151058459829255</v>
      </c>
      <c r="Z5">
        <v>2000</v>
      </c>
      <c r="AA5" s="245">
        <f>U14</f>
        <v>0.72619784147934274</v>
      </c>
      <c r="AB5" s="245">
        <f t="shared" ref="AB5:AC5" si="9">V14</f>
        <v>0.14461744689626724</v>
      </c>
      <c r="AC5" s="245">
        <f t="shared" si="9"/>
        <v>0.11693132604660755</v>
      </c>
    </row>
    <row r="6" spans="1:29" x14ac:dyDescent="0.25">
      <c r="A6" s="5">
        <v>2008</v>
      </c>
      <c r="B6" s="6">
        <v>84.272999999999996</v>
      </c>
      <c r="C6" s="6">
        <v>59.042000000000002</v>
      </c>
      <c r="D6" s="6"/>
      <c r="E6" s="6"/>
      <c r="F6" s="6"/>
      <c r="G6" s="6"/>
      <c r="H6" s="6"/>
      <c r="I6" s="6">
        <v>13.250999999999999</v>
      </c>
      <c r="J6" s="6">
        <v>11.340999999999999</v>
      </c>
      <c r="K6" s="6">
        <v>5.8540000000000001</v>
      </c>
      <c r="L6" s="6">
        <v>5.4870000000000001</v>
      </c>
      <c r="M6" s="6">
        <v>0.14299999999999999</v>
      </c>
      <c r="N6" s="6">
        <v>0.496</v>
      </c>
      <c r="O6" s="6"/>
      <c r="P6" s="6"/>
      <c r="Q6" s="7">
        <f t="shared" si="7"/>
        <v>83.634</v>
      </c>
      <c r="R6" t="s">
        <v>19</v>
      </c>
      <c r="U6" s="245">
        <f t="shared" si="2"/>
        <v>0.70060398941535251</v>
      </c>
      <c r="V6" s="245">
        <f t="shared" si="3"/>
        <v>0.15723897333665587</v>
      </c>
      <c r="W6" s="245">
        <f t="shared" si="4"/>
        <v>0.13457453751498108</v>
      </c>
      <c r="X6" s="245">
        <f t="shared" si="5"/>
        <v>0.99241750026698938</v>
      </c>
      <c r="Z6">
        <v>2001</v>
      </c>
      <c r="AA6" s="245">
        <f>U13</f>
        <v>0.73557925351429954</v>
      </c>
      <c r="AB6" s="245">
        <f t="shared" ref="AB6:AC6" si="10">V13</f>
        <v>0.13995798998222655</v>
      </c>
      <c r="AC6" s="245">
        <f t="shared" si="10"/>
        <v>0.11478429471643238</v>
      </c>
    </row>
    <row r="7" spans="1:29" x14ac:dyDescent="0.25">
      <c r="A7" s="5">
        <v>2007</v>
      </c>
      <c r="B7" s="6">
        <v>80.489000000000004</v>
      </c>
      <c r="C7" s="6">
        <v>56.293999999999997</v>
      </c>
      <c r="D7" s="6">
        <v>37.616</v>
      </c>
      <c r="E7" s="6"/>
      <c r="F7" s="6"/>
      <c r="G7" s="6"/>
      <c r="H7" s="6"/>
      <c r="I7" s="6">
        <v>12.411</v>
      </c>
      <c r="J7" s="6">
        <v>11.025</v>
      </c>
      <c r="K7" s="6">
        <v>5.57</v>
      </c>
      <c r="L7" s="6">
        <v>5.4550000000000001</v>
      </c>
      <c r="M7" s="6">
        <v>0.20699999999999999</v>
      </c>
      <c r="N7" s="6">
        <v>0.55200000000000005</v>
      </c>
      <c r="O7" s="6"/>
      <c r="P7" s="6"/>
      <c r="Q7" s="7">
        <f t="shared" si="7"/>
        <v>79.73</v>
      </c>
      <c r="R7" t="s">
        <v>16</v>
      </c>
      <c r="U7" s="245">
        <f t="shared" si="2"/>
        <v>0.69939991800121748</v>
      </c>
      <c r="V7" s="245">
        <f t="shared" si="3"/>
        <v>0.15419498316540148</v>
      </c>
      <c r="W7" s="245">
        <f t="shared" si="4"/>
        <v>0.136975238852514</v>
      </c>
      <c r="X7" s="245">
        <f t="shared" si="5"/>
        <v>0.99057014001913291</v>
      </c>
      <c r="Z7">
        <v>2002</v>
      </c>
      <c r="AA7" s="245">
        <f>U12</f>
        <v>0.74072883861430694</v>
      </c>
      <c r="AB7" s="245">
        <f t="shared" ref="AB7:AC7" si="11">V12</f>
        <v>0.14657111639565526</v>
      </c>
      <c r="AC7" s="245">
        <f t="shared" si="11"/>
        <v>0.10461790603509223</v>
      </c>
    </row>
    <row r="8" spans="1:29" x14ac:dyDescent="0.25">
      <c r="A8" s="5">
        <v>2006</v>
      </c>
      <c r="B8" s="6">
        <v>76.441000000000003</v>
      </c>
      <c r="C8" s="6">
        <v>54.018999999999998</v>
      </c>
      <c r="D8" s="6"/>
      <c r="E8" s="6"/>
      <c r="F8" s="6"/>
      <c r="G8" s="6"/>
      <c r="H8" s="6"/>
      <c r="I8" s="6">
        <v>11.91</v>
      </c>
      <c r="J8" s="6">
        <v>9.7919999999999998</v>
      </c>
      <c r="K8" s="6">
        <v>4.55</v>
      </c>
      <c r="L8" s="6">
        <v>5.2430000000000003</v>
      </c>
      <c r="M8" s="6">
        <v>0.20100000000000001</v>
      </c>
      <c r="N8" s="6">
        <v>0.51800000000000002</v>
      </c>
      <c r="O8" s="6"/>
      <c r="P8" s="6"/>
      <c r="Q8" s="7">
        <f t="shared" si="7"/>
        <v>75.722000000000008</v>
      </c>
      <c r="R8" t="s">
        <v>17</v>
      </c>
      <c r="U8" s="245">
        <f t="shared" si="2"/>
        <v>0.70667573684279372</v>
      </c>
      <c r="V8" s="245">
        <f t="shared" si="3"/>
        <v>0.15580643895291793</v>
      </c>
      <c r="W8" s="245">
        <f t="shared" si="4"/>
        <v>0.12809879514920003</v>
      </c>
      <c r="X8" s="245">
        <f t="shared" si="5"/>
        <v>0.9905809709449116</v>
      </c>
      <c r="Z8">
        <v>2003</v>
      </c>
      <c r="AA8" s="245">
        <f>U11</f>
        <v>0.73901691629404953</v>
      </c>
      <c r="AB8" s="245">
        <f t="shared" ref="AB8:AC8" si="12">V11</f>
        <v>0.1506988524436384</v>
      </c>
      <c r="AC8" s="245">
        <f t="shared" si="12"/>
        <v>0.10210750132891404</v>
      </c>
    </row>
    <row r="9" spans="1:29" x14ac:dyDescent="0.25">
      <c r="A9" s="5">
        <v>2005</v>
      </c>
      <c r="B9" s="6">
        <v>71.7</v>
      </c>
      <c r="C9" s="6">
        <v>51.786999999999999</v>
      </c>
      <c r="D9" s="6">
        <v>34.218000000000004</v>
      </c>
      <c r="E9" s="6"/>
      <c r="F9" s="6"/>
      <c r="G9" s="6"/>
      <c r="H9" s="6"/>
      <c r="I9" s="6">
        <v>11.337</v>
      </c>
      <c r="J9" s="6">
        <f>K9+L9</f>
        <v>7.8970000000000002</v>
      </c>
      <c r="K9" s="6">
        <v>4.6719999999999997</v>
      </c>
      <c r="L9" s="6">
        <v>3.2250000000000001</v>
      </c>
      <c r="M9" s="6">
        <v>0.16900000000000001</v>
      </c>
      <c r="N9" s="6">
        <v>0.51100000000000001</v>
      </c>
      <c r="O9" s="6"/>
      <c r="P9" s="6"/>
      <c r="Q9" s="7">
        <f t="shared" si="7"/>
        <v>71.02000000000001</v>
      </c>
      <c r="R9" t="s">
        <v>18</v>
      </c>
      <c r="U9" s="245">
        <f t="shared" si="2"/>
        <v>0.7222733612273361</v>
      </c>
      <c r="V9" s="245">
        <f t="shared" si="3"/>
        <v>0.15811715481171548</v>
      </c>
      <c r="W9" s="245">
        <f t="shared" si="4"/>
        <v>0.110139470013947</v>
      </c>
      <c r="X9" s="245">
        <f t="shared" si="5"/>
        <v>0.99052998605299858</v>
      </c>
      <c r="Z9">
        <v>2004</v>
      </c>
      <c r="AA9" s="245">
        <f>U10</f>
        <v>0.73574626299415735</v>
      </c>
      <c r="AB9" s="245">
        <f t="shared" ref="AB9:AC9" si="13">V10</f>
        <v>0.15130131269443814</v>
      </c>
      <c r="AC9" s="245">
        <f t="shared" si="13"/>
        <v>0.10536459518931633</v>
      </c>
    </row>
    <row r="10" spans="1:29" x14ac:dyDescent="0.25">
      <c r="A10" s="5">
        <v>2004</v>
      </c>
      <c r="B10" s="13">
        <v>65.894999999999996</v>
      </c>
      <c r="C10" s="13">
        <v>48.481999999999999</v>
      </c>
      <c r="D10" s="13"/>
      <c r="E10" s="13"/>
      <c r="F10" s="13"/>
      <c r="G10" s="13"/>
      <c r="H10" s="13"/>
      <c r="I10" s="13">
        <v>9.9700000000000006</v>
      </c>
      <c r="J10" s="13">
        <v>6.9429999999999996</v>
      </c>
      <c r="K10" s="13"/>
      <c r="L10" s="13"/>
      <c r="M10" s="13">
        <v>0.156</v>
      </c>
      <c r="N10" s="13">
        <v>0.34300000000000003</v>
      </c>
      <c r="O10" s="13"/>
      <c r="P10" s="13"/>
      <c r="Q10" s="13">
        <f t="shared" si="7"/>
        <v>65.395999999999987</v>
      </c>
      <c r="R10" t="s">
        <v>22</v>
      </c>
      <c r="U10" s="245">
        <f t="shared" si="2"/>
        <v>0.73574626299415735</v>
      </c>
      <c r="V10" s="245">
        <f t="shared" si="3"/>
        <v>0.15130131269443814</v>
      </c>
      <c r="W10" s="245">
        <f t="shared" si="4"/>
        <v>0.10536459518931633</v>
      </c>
      <c r="X10" s="245">
        <f t="shared" si="5"/>
        <v>0.99241217087791178</v>
      </c>
      <c r="Z10">
        <v>2005</v>
      </c>
      <c r="AA10" s="245">
        <f>U9</f>
        <v>0.7222733612273361</v>
      </c>
      <c r="AB10" s="245">
        <f t="shared" ref="AB10:AC10" si="14">V9</f>
        <v>0.15811715481171548</v>
      </c>
      <c r="AC10" s="245">
        <f t="shared" si="14"/>
        <v>0.110139470013947</v>
      </c>
    </row>
    <row r="11" spans="1:29" x14ac:dyDescent="0.25">
      <c r="A11" s="5">
        <v>2003</v>
      </c>
      <c r="B11" s="13">
        <v>63.962000000000003</v>
      </c>
      <c r="C11" s="13">
        <v>47.268999999999998</v>
      </c>
      <c r="D11" s="13"/>
      <c r="E11" s="13"/>
      <c r="F11" s="13"/>
      <c r="G11" s="13"/>
      <c r="H11" s="13"/>
      <c r="I11" s="13">
        <v>9.6389999999999993</v>
      </c>
      <c r="J11" s="13">
        <v>6.5309999999999997</v>
      </c>
      <c r="K11" s="13"/>
      <c r="L11" s="13"/>
      <c r="M11" s="13">
        <v>0.16800000000000001</v>
      </c>
      <c r="N11" s="13">
        <v>0.35499999999999998</v>
      </c>
      <c r="O11" s="13"/>
      <c r="P11" s="13"/>
      <c r="Q11" s="13">
        <f t="shared" si="7"/>
        <v>63.439000000000007</v>
      </c>
      <c r="R11" t="s">
        <v>23</v>
      </c>
      <c r="U11" s="245">
        <f t="shared" si="2"/>
        <v>0.73901691629404953</v>
      </c>
      <c r="V11" s="245">
        <f t="shared" si="3"/>
        <v>0.1506988524436384</v>
      </c>
      <c r="W11" s="245">
        <f t="shared" si="4"/>
        <v>0.10210750132891404</v>
      </c>
      <c r="X11" s="245">
        <f t="shared" si="5"/>
        <v>0.99182327006660198</v>
      </c>
      <c r="Z11">
        <v>2006</v>
      </c>
      <c r="AA11" s="245">
        <f>U8</f>
        <v>0.70667573684279372</v>
      </c>
      <c r="AB11" s="245">
        <f t="shared" ref="AB11:AC11" si="15">V8</f>
        <v>0.15580643895291793</v>
      </c>
      <c r="AC11" s="245">
        <f t="shared" si="15"/>
        <v>0.12809879514920003</v>
      </c>
    </row>
    <row r="12" spans="1:29" x14ac:dyDescent="0.25">
      <c r="A12" s="5">
        <v>2002</v>
      </c>
      <c r="B12" s="13">
        <v>62.235999999999997</v>
      </c>
      <c r="C12" s="13">
        <v>46.1</v>
      </c>
      <c r="D12" s="13"/>
      <c r="E12" s="13"/>
      <c r="F12" s="13"/>
      <c r="G12" s="13"/>
      <c r="H12" s="13"/>
      <c r="I12" s="13">
        <v>9.1219999999999999</v>
      </c>
      <c r="J12" s="13">
        <v>6.5110000000000001</v>
      </c>
      <c r="K12" s="13"/>
      <c r="L12" s="13"/>
      <c r="M12" s="13">
        <v>0.17</v>
      </c>
      <c r="N12" s="13">
        <v>0.33200000000000002</v>
      </c>
      <c r="O12" s="13"/>
      <c r="P12" s="13"/>
      <c r="Q12" s="13">
        <f t="shared" si="7"/>
        <v>61.733999999999995</v>
      </c>
      <c r="R12" t="s">
        <v>24</v>
      </c>
      <c r="U12" s="245">
        <f t="shared" si="2"/>
        <v>0.74072883861430694</v>
      </c>
      <c r="V12" s="245">
        <f t="shared" si="3"/>
        <v>0.14657111639565526</v>
      </c>
      <c r="W12" s="245">
        <f t="shared" si="4"/>
        <v>0.10461790603509223</v>
      </c>
      <c r="X12" s="245">
        <f t="shared" si="5"/>
        <v>0.99191786104505442</v>
      </c>
      <c r="Z12">
        <v>2007</v>
      </c>
      <c r="AA12" s="245">
        <f>U7</f>
        <v>0.69939991800121748</v>
      </c>
      <c r="AB12" s="245">
        <f t="shared" ref="AB12:AC12" si="16">V7</f>
        <v>0.15419498316540148</v>
      </c>
      <c r="AC12" s="245">
        <f t="shared" si="16"/>
        <v>0.136975238852514</v>
      </c>
    </row>
    <row r="13" spans="1:29" x14ac:dyDescent="0.25">
      <c r="A13" s="5">
        <v>2001</v>
      </c>
      <c r="B13" s="13">
        <v>61.89</v>
      </c>
      <c r="C13" s="13">
        <v>45.524999999999999</v>
      </c>
      <c r="D13" s="13">
        <v>29.861000000000001</v>
      </c>
      <c r="E13" s="13">
        <v>5.8010000000000002</v>
      </c>
      <c r="F13" s="13">
        <v>7.9</v>
      </c>
      <c r="G13" s="13">
        <v>0.82699999999999996</v>
      </c>
      <c r="H13" s="13">
        <v>1.1359999999999999</v>
      </c>
      <c r="I13" s="13">
        <v>8.6620000000000008</v>
      </c>
      <c r="J13" s="13">
        <v>7.1040000000000001</v>
      </c>
      <c r="K13" s="13"/>
      <c r="L13" s="13"/>
      <c r="M13" s="13">
        <v>0.155</v>
      </c>
      <c r="N13" s="13">
        <v>0.30499999999999999</v>
      </c>
      <c r="O13" s="13"/>
      <c r="P13" s="13"/>
      <c r="Q13" s="13">
        <f t="shared" si="7"/>
        <v>61.43</v>
      </c>
      <c r="R13" t="s">
        <v>25</v>
      </c>
      <c r="U13" s="245">
        <f t="shared" si="2"/>
        <v>0.73557925351429954</v>
      </c>
      <c r="V13" s="245">
        <f t="shared" si="3"/>
        <v>0.13995798998222655</v>
      </c>
      <c r="W13" s="245">
        <f t="shared" si="4"/>
        <v>0.11478429471643238</v>
      </c>
      <c r="X13" s="245">
        <f t="shared" si="5"/>
        <v>0.99032153821295843</v>
      </c>
      <c r="Z13">
        <v>2008</v>
      </c>
      <c r="AA13" s="245">
        <f>U6</f>
        <v>0.70060398941535251</v>
      </c>
      <c r="AB13" s="245">
        <f t="shared" ref="AB13:AC13" si="17">V6</f>
        <v>0.15723897333665587</v>
      </c>
      <c r="AC13" s="245">
        <f t="shared" si="17"/>
        <v>0.13457453751498108</v>
      </c>
    </row>
    <row r="14" spans="1:29" x14ac:dyDescent="0.25">
      <c r="A14" s="5">
        <v>2000</v>
      </c>
      <c r="B14" s="13">
        <v>58.188000000000002</v>
      </c>
      <c r="C14" s="13">
        <v>42.256</v>
      </c>
      <c r="D14" s="13">
        <v>27.498999999999999</v>
      </c>
      <c r="E14" s="13">
        <v>5.1710000000000003</v>
      </c>
      <c r="F14" s="13">
        <v>7.7919999999999998</v>
      </c>
      <c r="G14" s="13">
        <v>0.73</v>
      </c>
      <c r="H14" s="13">
        <v>1.0649999999999999</v>
      </c>
      <c r="I14" s="13">
        <v>8.4149999999999991</v>
      </c>
      <c r="J14" s="13">
        <v>6.8040000000000003</v>
      </c>
      <c r="K14" s="13"/>
      <c r="L14" s="13"/>
      <c r="M14" s="13">
        <v>8.8999999999999996E-2</v>
      </c>
      <c r="N14" s="13">
        <v>0.29899999999999999</v>
      </c>
      <c r="O14" s="13"/>
      <c r="P14" s="13"/>
      <c r="Q14" s="13">
        <f t="shared" si="7"/>
        <v>57.800000000000004</v>
      </c>
      <c r="R14" t="s">
        <v>30</v>
      </c>
      <c r="U14" s="245">
        <f t="shared" si="2"/>
        <v>0.72619784147934274</v>
      </c>
      <c r="V14" s="245">
        <f t="shared" si="3"/>
        <v>0.14461744689626724</v>
      </c>
      <c r="W14" s="245">
        <f t="shared" si="4"/>
        <v>0.11693132604660755</v>
      </c>
      <c r="X14" s="245">
        <f t="shared" si="5"/>
        <v>0.98774661442221756</v>
      </c>
      <c r="Z14">
        <v>2009</v>
      </c>
      <c r="AA14" s="245">
        <f>U5</f>
        <v>0.7162748010481953</v>
      </c>
      <c r="AB14" s="245">
        <f t="shared" ref="AB14:AC14" si="18">V5</f>
        <v>0.16726442777958919</v>
      </c>
      <c r="AC14" s="245">
        <f t="shared" si="18"/>
        <v>0.10797135577050805</v>
      </c>
    </row>
    <row r="15" spans="1:29" x14ac:dyDescent="0.25">
      <c r="A15" s="5">
        <v>1999</v>
      </c>
      <c r="B15" s="13">
        <f>356.5/6.55957</f>
        <v>54.348074645136798</v>
      </c>
      <c r="C15" s="13">
        <f>257.3/6.55957</f>
        <v>39.225132135185696</v>
      </c>
      <c r="D15" s="13"/>
      <c r="E15" s="13"/>
      <c r="F15" s="13"/>
      <c r="G15" s="13"/>
      <c r="H15" s="13"/>
      <c r="I15" s="13">
        <f>52.2/6.55957</f>
        <v>7.9578386997928225</v>
      </c>
      <c r="J15" s="13">
        <f>39.5/6.55957</f>
        <v>6.0217361808777099</v>
      </c>
      <c r="K15" s="13"/>
      <c r="L15" s="13"/>
      <c r="M15" s="13"/>
      <c r="N15" s="13">
        <f>1.6/6.55957</f>
        <v>0.24391842757985663</v>
      </c>
      <c r="O15" s="13">
        <f>1.8/6.55957</f>
        <v>0.27440823102733869</v>
      </c>
      <c r="P15" s="13">
        <f>4.2/6.55957</f>
        <v>0.64028587239712365</v>
      </c>
      <c r="Q15" s="13"/>
      <c r="R15" t="s">
        <v>33</v>
      </c>
      <c r="U15" s="245">
        <f t="shared" si="2"/>
        <v>0.72173913043478277</v>
      </c>
      <c r="V15" s="245">
        <f t="shared" si="3"/>
        <v>0.14642356241234222</v>
      </c>
      <c r="W15" s="245">
        <f t="shared" si="4"/>
        <v>0.11079943899018233</v>
      </c>
      <c r="X15" s="245">
        <f t="shared" si="5"/>
        <v>0.97896213183730729</v>
      </c>
      <c r="Z15">
        <v>2010</v>
      </c>
      <c r="AA15" s="245">
        <f>U4</f>
        <v>0.70844939647168059</v>
      </c>
      <c r="AB15" s="245">
        <f t="shared" ref="AB15:AC15" si="19">V4</f>
        <v>0.17976096945456277</v>
      </c>
      <c r="AC15" s="245">
        <f t="shared" si="19"/>
        <v>0.10450444015903626</v>
      </c>
    </row>
    <row r="16" spans="1:29" x14ac:dyDescent="0.25">
      <c r="A16" s="5">
        <v>1998</v>
      </c>
      <c r="B16" s="13">
        <f>(176.034+1.981+49.328+0.58)/6.55957</f>
        <v>34.746637355802285</v>
      </c>
      <c r="C16" s="13"/>
      <c r="D16" s="13"/>
      <c r="E16" s="13"/>
      <c r="F16" s="13"/>
      <c r="G16" s="13"/>
      <c r="H16" s="13"/>
      <c r="I16" s="13"/>
      <c r="J16" s="13"/>
      <c r="K16" s="13"/>
      <c r="L16" s="13"/>
      <c r="M16" s="13"/>
      <c r="N16" s="13"/>
      <c r="O16" s="13"/>
      <c r="P16" s="13">
        <f>(1.981+0.58)/6.55957</f>
        <v>0.390421933145008</v>
      </c>
      <c r="Q16" s="13"/>
      <c r="R16" t="s">
        <v>34</v>
      </c>
      <c r="U16" s="246">
        <f>U15</f>
        <v>0.72173913043478277</v>
      </c>
      <c r="V16" s="246">
        <f>V15</f>
        <v>0.14642356241234222</v>
      </c>
      <c r="W16" s="246">
        <f>W15</f>
        <v>0.11079943899018233</v>
      </c>
      <c r="X16" s="245">
        <f t="shared" si="5"/>
        <v>0.97896213183730729</v>
      </c>
      <c r="Z16">
        <v>2011</v>
      </c>
      <c r="AA16" s="245">
        <f>U3</f>
        <v>0.70978122467878224</v>
      </c>
      <c r="AB16" s="245">
        <f t="shared" ref="AB16:AC16" si="20">V3</f>
        <v>0.17870123856927886</v>
      </c>
      <c r="AC16" s="245">
        <f t="shared" si="20"/>
        <v>0.10538256742678549</v>
      </c>
    </row>
    <row r="17" spans="1:29" x14ac:dyDescent="0.25">
      <c r="A17" s="5">
        <v>1997</v>
      </c>
      <c r="B17" s="13">
        <f>(34.457+0.379+49.615+0.557)/6.55957</f>
        <v>12.959386057317781</v>
      </c>
      <c r="C17" s="13"/>
      <c r="D17" s="13"/>
      <c r="E17" s="13"/>
      <c r="F17" s="13"/>
      <c r="G17" s="13"/>
      <c r="H17" s="13"/>
      <c r="I17" s="13"/>
      <c r="J17" s="13"/>
      <c r="K17" s="13"/>
      <c r="L17" s="13"/>
      <c r="M17" s="13"/>
      <c r="N17" s="13"/>
      <c r="O17" s="13"/>
      <c r="P17" s="13">
        <f>(0.379+0.557)/6.55957</f>
        <v>0.14269228013421612</v>
      </c>
      <c r="Q17" s="13"/>
      <c r="R17" t="s">
        <v>34</v>
      </c>
      <c r="U17" s="246">
        <f t="shared" ref="U17" si="21">U16</f>
        <v>0.72173913043478277</v>
      </c>
      <c r="V17" s="246">
        <f>V16</f>
        <v>0.14642356241234222</v>
      </c>
      <c r="W17" s="246">
        <f>W16</f>
        <v>0.11079943899018233</v>
      </c>
      <c r="X17" s="245">
        <f t="shared" si="5"/>
        <v>0.97896213183730729</v>
      </c>
      <c r="Z17">
        <v>2012</v>
      </c>
      <c r="AA17" s="245">
        <f>U2</f>
        <v>0.7067525999707045</v>
      </c>
      <c r="AB17" s="245">
        <f t="shared" ref="AB17:AC17" si="22">V2</f>
        <v>0.18050500839427161</v>
      </c>
      <c r="AC17" s="245">
        <f t="shared" si="22"/>
        <v>0.10665795314982365</v>
      </c>
    </row>
    <row r="18" spans="1:29" x14ac:dyDescent="0.25">
      <c r="X18" s="245"/>
    </row>
    <row r="19" spans="1:29" x14ac:dyDescent="0.25">
      <c r="A19" s="1"/>
      <c r="B19" s="4" t="s">
        <v>13</v>
      </c>
      <c r="C19" s="1"/>
    </row>
    <row r="20" spans="1:29" x14ac:dyDescent="0.25">
      <c r="B20" s="1" t="s">
        <v>35</v>
      </c>
      <c r="U20" t="s">
        <v>232</v>
      </c>
    </row>
    <row r="21" spans="1:29" x14ac:dyDescent="0.25">
      <c r="B21" s="1" t="s">
        <v>9</v>
      </c>
    </row>
    <row r="23" spans="1:29" x14ac:dyDescent="0.25">
      <c r="B23" s="1" t="s">
        <v>8</v>
      </c>
    </row>
    <row r="25" spans="1:29" x14ac:dyDescent="0.25">
      <c r="B25" s="8" t="s">
        <v>15</v>
      </c>
    </row>
    <row r="27" spans="1:29" x14ac:dyDescent="0.25">
      <c r="B27" t="s">
        <v>36</v>
      </c>
    </row>
  </sheetData>
  <sortState ref="A2:L16">
    <sortCondition descending="1" ref="A2:A16"/>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3"/>
  <sheetViews>
    <sheetView workbookViewId="0">
      <pane xSplit="1" ySplit="2" topLeftCell="Q3" activePane="bottomRight" state="frozen"/>
      <selection pane="topRight" activeCell="B1" sqref="B1"/>
      <selection pane="bottomLeft" activeCell="A2" sqref="A2"/>
      <selection pane="bottomRight" activeCell="AD13" sqref="AD13"/>
    </sheetView>
  </sheetViews>
  <sheetFormatPr baseColWidth="10" defaultRowHeight="15" x14ac:dyDescent="0.25"/>
  <cols>
    <col min="2" max="5" width="18.28515625" customWidth="1"/>
    <col min="9" max="9" width="14.7109375" customWidth="1"/>
    <col min="10" max="10" width="15.140625" customWidth="1"/>
    <col min="11" max="11" width="17" customWidth="1"/>
    <col min="13" max="13" width="13.28515625" customWidth="1"/>
    <col min="17" max="22" width="14.140625" customWidth="1"/>
    <col min="24" max="24" width="12.85546875" customWidth="1"/>
    <col min="28" max="28" width="54.28515625" customWidth="1"/>
    <col min="29" max="29" width="17.140625" customWidth="1"/>
  </cols>
  <sheetData>
    <row r="1" spans="1:32" ht="30" customHeight="1" thickBot="1" x14ac:dyDescent="0.3">
      <c r="A1" s="126"/>
      <c r="B1" s="127" t="s">
        <v>97</v>
      </c>
      <c r="C1" s="283" t="s">
        <v>98</v>
      </c>
      <c r="D1" s="282"/>
      <c r="E1" s="128" t="s">
        <v>103</v>
      </c>
      <c r="F1" s="280" t="s">
        <v>95</v>
      </c>
      <c r="G1" s="281"/>
      <c r="H1" s="281"/>
      <c r="I1" s="281"/>
      <c r="J1" s="281"/>
      <c r="K1" s="281"/>
      <c r="L1" s="281"/>
      <c r="M1" s="281"/>
      <c r="N1" s="281"/>
      <c r="O1" s="281"/>
      <c r="P1" s="282"/>
      <c r="Q1" s="275" t="s">
        <v>96</v>
      </c>
      <c r="R1" s="276"/>
      <c r="S1" s="276"/>
      <c r="T1" s="276"/>
      <c r="U1" s="276"/>
      <c r="V1" s="277"/>
      <c r="W1" s="126"/>
      <c r="X1" s="275" t="s">
        <v>105</v>
      </c>
      <c r="Y1" s="276"/>
      <c r="Z1" s="276"/>
      <c r="AA1" s="277"/>
      <c r="AB1" s="278" t="s">
        <v>12</v>
      </c>
    </row>
    <row r="2" spans="1:32" ht="60" customHeight="1" thickBot="1" x14ac:dyDescent="0.3">
      <c r="A2" s="3" t="s">
        <v>14</v>
      </c>
      <c r="B2" s="231" t="s">
        <v>94</v>
      </c>
      <c r="C2" s="54" t="s">
        <v>99</v>
      </c>
      <c r="D2" s="55" t="s">
        <v>100</v>
      </c>
      <c r="E2" s="54" t="s">
        <v>104</v>
      </c>
      <c r="F2" s="18" t="s">
        <v>64</v>
      </c>
      <c r="G2" s="19" t="s">
        <v>65</v>
      </c>
      <c r="H2" s="20" t="s">
        <v>58</v>
      </c>
      <c r="I2" s="20" t="s">
        <v>59</v>
      </c>
      <c r="J2" s="20" t="s">
        <v>60</v>
      </c>
      <c r="K2" s="20" t="s">
        <v>61</v>
      </c>
      <c r="L2" s="20" t="s">
        <v>62</v>
      </c>
      <c r="M2" s="19" t="s">
        <v>48</v>
      </c>
      <c r="N2" s="19" t="s">
        <v>49</v>
      </c>
      <c r="O2" s="66" t="s">
        <v>50</v>
      </c>
      <c r="P2" s="57" t="s">
        <v>63</v>
      </c>
      <c r="Q2" s="18" t="s">
        <v>66</v>
      </c>
      <c r="R2" s="20" t="s">
        <v>52</v>
      </c>
      <c r="S2" s="20" t="s">
        <v>53</v>
      </c>
      <c r="T2" s="20" t="s">
        <v>54</v>
      </c>
      <c r="U2" s="66" t="s">
        <v>67</v>
      </c>
      <c r="V2" s="30" t="s">
        <v>57</v>
      </c>
      <c r="W2" s="2" t="s">
        <v>45</v>
      </c>
      <c r="X2" s="30" t="s">
        <v>106</v>
      </c>
      <c r="Y2" s="54" t="s">
        <v>46</v>
      </c>
      <c r="Z2" s="56" t="s">
        <v>47</v>
      </c>
      <c r="AA2" s="57" t="s">
        <v>7</v>
      </c>
      <c r="AB2" s="279"/>
      <c r="AC2" s="51" t="s">
        <v>89</v>
      </c>
      <c r="AD2" s="50" t="s">
        <v>90</v>
      </c>
    </row>
    <row r="3" spans="1:32" ht="15" customHeight="1" x14ac:dyDescent="0.25">
      <c r="A3" s="5">
        <v>2012</v>
      </c>
      <c r="B3" s="232">
        <f>B4*('Recettes CSG (CCSS)'!$C2+'Recettes CSG (CCSS)'!$I2)/('Recettes CSG (CCSS)'!$C3+'Recettes CSG (CCSS)'!$I3)</f>
        <v>8.8776109361388471</v>
      </c>
      <c r="C3" s="88">
        <f>C4*'Recettes CSG (CCSS)'!$B2/'Recettes CSG (CCSS)'!$B3</f>
        <v>1.4780212008666047</v>
      </c>
      <c r="D3" s="88">
        <f>D4*'Recettes CSG (CCSS)'!$B2/'Recettes CSG (CCSS)'!$B3</f>
        <v>0.30109795728876504</v>
      </c>
      <c r="E3" s="86"/>
      <c r="F3" s="88">
        <f>F4*'Recettes CSG (CCSS)'!$C2/'Recettes CSG (CCSS)'!$C3</f>
        <v>4.2210845347313235</v>
      </c>
      <c r="G3" s="89">
        <f>G4*'Recettes CSG (CCSS)'!$C2/'Recettes CSG (CCSS)'!$C3</f>
        <v>1.4154598077763214</v>
      </c>
      <c r="H3" s="89">
        <f>H4*'Recettes CSG (CCSS)'!$C2/'Recettes CSG (CCSS)'!$C3</f>
        <v>7.1668851026649202E-2</v>
      </c>
      <c r="I3" s="89">
        <f>I4*'Recettes CSG (CCSS)'!$C2/'Recettes CSG (CCSS)'!$C3</f>
        <v>0.60286151157710788</v>
      </c>
      <c r="J3" s="89">
        <f>J4*'Recettes CSG (CCSS)'!$C2/'Recettes CSG (CCSS)'!$C3</f>
        <v>0.21395259938837921</v>
      </c>
      <c r="K3" s="89">
        <f>K4*'Recettes CSG (CCSS)'!$C2/'Recettes CSG (CCSS)'!$C3</f>
        <v>0.43106705985146343</v>
      </c>
      <c r="L3" s="89">
        <f>L4*'Recettes CSG (CCSS)'!$C2/'Recettes CSG (CCSS)'!$C3</f>
        <v>9.4855832241153334E-2</v>
      </c>
      <c r="M3" s="89">
        <f>M4*'Recettes CSG (CCSS)'!$C2/'Recettes CSG (CCSS)'!$C3</f>
        <v>0.81997597204019224</v>
      </c>
      <c r="N3" s="89">
        <f>N4*'Recettes CSG (CCSS)'!$C2/'Recettes CSG (CCSS)'!$C3</f>
        <v>0.11804281345565751</v>
      </c>
      <c r="O3" s="206">
        <f>O4*'Recettes CSG (CCSS)'!$C2/'Recettes CSG (CCSS)'!$C3</f>
        <v>9.1693971166448215E-2</v>
      </c>
      <c r="P3" s="206">
        <f>P4*'Recettes CSG (CCSS)'!$C2/'Recettes CSG (CCSS)'!$C3</f>
        <v>6.6999836173001306</v>
      </c>
      <c r="Q3" s="209">
        <f>Q4*'Recettes CSG (CCSS)'!$I2/'Recettes CSG (CCSS)'!$I3</f>
        <v>0.53785444672538241</v>
      </c>
      <c r="R3" s="210">
        <f>R4*'Recettes CSG (CCSS)'!$I2/'Recettes CSG (CCSS)'!$I3</f>
        <v>0.42540361565459245</v>
      </c>
      <c r="S3" s="210">
        <f>S4*'Recettes CSG (CCSS)'!$I2/'Recettes CSG (CCSS)'!$I3</f>
        <v>3.8190848288192823E-2</v>
      </c>
      <c r="T3" s="210">
        <f>T4*'Recettes CSG (CCSS)'!$I2/'Recettes CSG (CCSS)'!$I3</f>
        <v>7.4259982782597184E-2</v>
      </c>
      <c r="U3" s="211">
        <f>U4*'Recettes CSG (CCSS)'!$I2/'Recettes CSG (CCSS)'!$I3</f>
        <v>6.683398450433746E-2</v>
      </c>
      <c r="V3" s="89">
        <f>V4*'Recettes CSG (CCSS)'!$I2/'Recettes CSG (CCSS)'!$I3</f>
        <v>0.66833984504337451</v>
      </c>
      <c r="W3" s="88">
        <f>W4*'Recettes CSG (CCSS)'!$I2/'Recettes CSG (CCSS)'!$I3</f>
        <v>2.6521422422356132E-2</v>
      </c>
      <c r="X3" s="90"/>
      <c r="Y3" s="93"/>
      <c r="Z3" s="94"/>
      <c r="AA3" s="95"/>
      <c r="AB3" s="212"/>
      <c r="AC3" s="87"/>
      <c r="AD3" s="87"/>
    </row>
    <row r="4" spans="1:32" x14ac:dyDescent="0.25">
      <c r="A4" s="5">
        <v>2011</v>
      </c>
      <c r="B4" s="232">
        <f>B5*('Recettes CSG (CCSS)'!$C3+'Recettes CSG (CCSS)'!$I3)/('Recettes CSG (CCSS)'!$C4+'Recettes CSG (CCSS)'!$I4)</f>
        <v>8.6533736112041826</v>
      </c>
      <c r="C4" s="88">
        <f>C5*'Recettes CSG (CCSS)'!$B3/'Recettes CSG (CCSS)'!$B4</f>
        <v>1.438702116515487</v>
      </c>
      <c r="D4" s="88">
        <f>D5*'Recettes CSG (CCSS)'!$B3/'Recettes CSG (CCSS)'!$B4</f>
        <v>0.2930879937147346</v>
      </c>
      <c r="E4" s="88"/>
      <c r="F4" s="88">
        <f>F5*'Recettes CSG (CCSS)'!$C3/'Recettes CSG (CCSS)'!$C4</f>
        <v>4.1264003427764893</v>
      </c>
      <c r="G4" s="89">
        <f>G5*'Recettes CSG (CCSS)'!$C3/'Recettes CSG (CCSS)'!$C4</f>
        <v>1.3837092784890948</v>
      </c>
      <c r="H4" s="89">
        <f>H5*'Recettes CSG (CCSS)'!$C3/'Recettes CSG (CCSS)'!$C4</f>
        <v>7.0061229290587085E-2</v>
      </c>
      <c r="I4" s="89">
        <f>I5*'Recettes CSG (CCSS)'!$C3/'Recettes CSG (CCSS)'!$C4</f>
        <v>0.58933857579729132</v>
      </c>
      <c r="J4" s="89">
        <f>J5*'Recettes CSG (CCSS)'!$C3/'Recettes CSG (CCSS)'!$C4</f>
        <v>0.20915337567631145</v>
      </c>
      <c r="K4" s="89">
        <f>K5*'Recettes CSG (CCSS)'!$C3/'Recettes CSG (CCSS)'!$C4</f>
        <v>0.42139768793897225</v>
      </c>
      <c r="L4" s="89">
        <f>L5*'Recettes CSG (CCSS)'!$C3/'Recettes CSG (CCSS)'!$C4</f>
        <v>9.2728097590482894E-2</v>
      </c>
      <c r="M4" s="89">
        <f>M5*'Recettes CSG (CCSS)'!$C3/'Recettes CSG (CCSS)'!$C4</f>
        <v>0.80158288805995226</v>
      </c>
      <c r="N4" s="89">
        <f>N5*'Recettes CSG (CCSS)'!$C3/'Recettes CSG (CCSS)'!$C4</f>
        <v>0.11539496589037873</v>
      </c>
      <c r="O4" s="206">
        <f>O5*'Recettes CSG (CCSS)'!$C3/'Recettes CSG (CCSS)'!$C4</f>
        <v>8.9637161004133464E-2</v>
      </c>
      <c r="P4" s="206">
        <f>P5*'Recettes CSG (CCSS)'!$C3/'Recettes CSG (CCSS)'!$C4</f>
        <v>6.5496946264744427</v>
      </c>
      <c r="Q4" s="88">
        <f>Q5*'Recettes CSG (CCSS)'!$I3/'Recettes CSG (CCSS)'!$I4</f>
        <v>0.51831441626382357</v>
      </c>
      <c r="R4" s="89">
        <f>R5*'Recettes CSG (CCSS)'!$I3/'Recettes CSG (CCSS)'!$I4</f>
        <v>0.40994887755777765</v>
      </c>
      <c r="S4" s="89">
        <f>S5*'Recettes CSG (CCSS)'!$I3/'Recettes CSG (CCSS)'!$I4</f>
        <v>3.6803390503940131E-2</v>
      </c>
      <c r="T4" s="89">
        <f>T5*'Recettes CSG (CCSS)'!$I3/'Recettes CSG (CCSS)'!$I4</f>
        <v>7.1562148202105824E-2</v>
      </c>
      <c r="U4" s="206">
        <f>U5*'Recettes CSG (CCSS)'!$I3/'Recettes CSG (CCSS)'!$I4</f>
        <v>6.4405933381895236E-2</v>
      </c>
      <c r="V4" s="89">
        <f>V5*'Recettes CSG (CCSS)'!$I3/'Recettes CSG (CCSS)'!$I4</f>
        <v>0.64405933381895231</v>
      </c>
      <c r="W4" s="88">
        <f>W5*'Recettes CSG (CCSS)'!$I3/'Recettes CSG (CCSS)'!$I4</f>
        <v>2.555791007218065E-2</v>
      </c>
      <c r="X4" s="91"/>
      <c r="Y4" s="93"/>
      <c r="Z4" s="94"/>
      <c r="AA4" s="95"/>
      <c r="AB4" s="212"/>
      <c r="AC4" s="87"/>
      <c r="AD4" s="87"/>
    </row>
    <row r="5" spans="1:32" x14ac:dyDescent="0.25">
      <c r="A5" s="5">
        <v>2010</v>
      </c>
      <c r="B5" s="233">
        <v>8.4120000000000008</v>
      </c>
      <c r="C5" s="25">
        <v>1.399</v>
      </c>
      <c r="D5" s="25">
        <v>0.28499999999999998</v>
      </c>
      <c r="E5" s="25"/>
      <c r="F5" s="25">
        <v>4.0049999999999999</v>
      </c>
      <c r="G5" s="26">
        <v>1.343</v>
      </c>
      <c r="H5" s="26">
        <v>6.8000000000000005E-2</v>
      </c>
      <c r="I5" s="26">
        <v>0.57199999999999995</v>
      </c>
      <c r="J5" s="26">
        <v>0.20300000000000001</v>
      </c>
      <c r="K5" s="26">
        <v>0.40899999999999997</v>
      </c>
      <c r="L5" s="26">
        <v>0.09</v>
      </c>
      <c r="M5" s="26">
        <v>0.77800000000000002</v>
      </c>
      <c r="N5" s="26">
        <v>0.112</v>
      </c>
      <c r="O5" s="67">
        <v>8.6999999999999994E-2</v>
      </c>
      <c r="P5" s="67">
        <v>6.3570000000000002</v>
      </c>
      <c r="Q5" s="25">
        <v>0.50700000000000001</v>
      </c>
      <c r="R5" s="26">
        <v>0.40100000000000002</v>
      </c>
      <c r="S5" s="26">
        <v>3.5999999999999997E-2</v>
      </c>
      <c r="T5" s="26">
        <v>7.0000000000000007E-2</v>
      </c>
      <c r="U5" s="67">
        <v>6.3E-2</v>
      </c>
      <c r="V5" s="67">
        <v>0.63</v>
      </c>
      <c r="W5" s="7">
        <v>2.5000000000000001E-2</v>
      </c>
      <c r="X5" s="92"/>
      <c r="Y5" s="59">
        <v>0.39200000000000002</v>
      </c>
      <c r="Z5" s="60">
        <v>0.53600000000000003</v>
      </c>
      <c r="AA5" s="61">
        <v>4.3999999999999997E-2</v>
      </c>
      <c r="AB5" s="213" t="s">
        <v>56</v>
      </c>
      <c r="AC5" s="40">
        <f>N5/(U5+N5)</f>
        <v>0.64</v>
      </c>
      <c r="AF5" s="49"/>
    </row>
    <row r="6" spans="1:32" x14ac:dyDescent="0.25">
      <c r="A6" s="5">
        <v>2009</v>
      </c>
      <c r="B6" s="233">
        <v>8.2520000000000007</v>
      </c>
      <c r="C6" s="25">
        <v>1.3779999999999999</v>
      </c>
      <c r="D6" s="25">
        <v>0.314</v>
      </c>
      <c r="E6" s="25"/>
      <c r="F6" s="25">
        <v>4.0570000000000004</v>
      </c>
      <c r="G6" s="26">
        <v>1.329</v>
      </c>
      <c r="H6" s="22">
        <v>0.107</v>
      </c>
      <c r="I6" s="26">
        <v>0.56499999999999995</v>
      </c>
      <c r="J6" s="26">
        <v>0.182</v>
      </c>
      <c r="K6" s="26">
        <v>0.38500000000000001</v>
      </c>
      <c r="L6" s="26">
        <v>0.09</v>
      </c>
      <c r="M6" s="26">
        <v>0.83499999999999996</v>
      </c>
      <c r="N6" s="26">
        <v>0.115</v>
      </c>
      <c r="O6" s="67">
        <v>8.5999999999999993E-2</v>
      </c>
      <c r="P6" s="67">
        <v>6.4279999999999999</v>
      </c>
      <c r="Q6" s="25">
        <v>0.52400000000000002</v>
      </c>
      <c r="R6" s="26">
        <v>0.39500000000000002</v>
      </c>
      <c r="S6" s="26">
        <v>6.4000000000000001E-2</v>
      </c>
      <c r="T6" s="26">
        <v>6.5000000000000002E-2</v>
      </c>
      <c r="U6" s="67">
        <v>0.03</v>
      </c>
      <c r="V6" s="67">
        <v>0.57199999999999995</v>
      </c>
      <c r="W6" s="7">
        <v>0.02</v>
      </c>
      <c r="X6" s="32">
        <f t="shared" ref="X6:X13" si="0">SUM(Y6:AA6)</f>
        <v>0.94000000000000006</v>
      </c>
      <c r="Y6" s="21">
        <v>0.42699999999999999</v>
      </c>
      <c r="Z6" s="22">
        <v>0.46800000000000003</v>
      </c>
      <c r="AA6" s="58">
        <v>4.4999999999999998E-2</v>
      </c>
      <c r="AB6" s="213" t="s">
        <v>55</v>
      </c>
      <c r="AC6" s="40">
        <f>N6/(U6+N6)</f>
        <v>0.79310344827586199</v>
      </c>
    </row>
    <row r="7" spans="1:32" x14ac:dyDescent="0.25">
      <c r="A7" s="5">
        <v>2008</v>
      </c>
      <c r="B7" s="234">
        <v>10.1</v>
      </c>
      <c r="C7" s="27">
        <v>1.611</v>
      </c>
      <c r="D7" s="27">
        <v>0.36499999999999999</v>
      </c>
      <c r="E7" s="27"/>
      <c r="F7" s="27">
        <v>4.9690000000000003</v>
      </c>
      <c r="G7" s="28">
        <v>1.607</v>
      </c>
      <c r="H7" s="28">
        <v>0.11700000000000001</v>
      </c>
      <c r="I7" s="28">
        <v>0.73099999999999998</v>
      </c>
      <c r="J7" s="28">
        <v>0.221</v>
      </c>
      <c r="K7" s="28">
        <v>0.43099999999999999</v>
      </c>
      <c r="L7" s="28">
        <v>0.107</v>
      </c>
      <c r="M7" s="28">
        <v>0.99399999999999999</v>
      </c>
      <c r="N7" s="28">
        <v>0.13</v>
      </c>
      <c r="O7" s="62">
        <v>9.9000000000000005E-2</v>
      </c>
      <c r="P7" s="62">
        <v>7.8109999999999999</v>
      </c>
      <c r="Q7" s="27">
        <v>0.60499999999999998</v>
      </c>
      <c r="R7" s="28">
        <v>0.46800000000000003</v>
      </c>
      <c r="S7" s="28">
        <v>6.8000000000000005E-2</v>
      </c>
      <c r="T7" s="28">
        <v>6.9000000000000006E-2</v>
      </c>
      <c r="U7" s="62">
        <v>4.5999999999999999E-2</v>
      </c>
      <c r="V7" s="62">
        <v>0.66200000000000003</v>
      </c>
      <c r="W7" s="16">
        <f>0.02</f>
        <v>0.02</v>
      </c>
      <c r="X7" s="32">
        <f t="shared" si="0"/>
        <v>1.5209999999999999</v>
      </c>
      <c r="Y7" s="27">
        <v>0.753</v>
      </c>
      <c r="Z7" s="28">
        <v>0.71299999999999997</v>
      </c>
      <c r="AA7" s="62">
        <v>5.5E-2</v>
      </c>
      <c r="AB7" s="213" t="s">
        <v>68</v>
      </c>
      <c r="AC7" s="40">
        <f>N7/(U7+N7)</f>
        <v>0.73863636363636376</v>
      </c>
    </row>
    <row r="8" spans="1:32" x14ac:dyDescent="0.25">
      <c r="A8" s="5">
        <v>2007</v>
      </c>
      <c r="B8" s="234">
        <v>9.6329999999999991</v>
      </c>
      <c r="C8" s="27">
        <v>1.5109999999999999</v>
      </c>
      <c r="D8" s="27">
        <v>0.33500000000000002</v>
      </c>
      <c r="E8" s="27"/>
      <c r="F8" s="27">
        <v>4.734</v>
      </c>
      <c r="G8" s="28">
        <v>1.5840000000000001</v>
      </c>
      <c r="H8" s="28">
        <v>0.13400000000000001</v>
      </c>
      <c r="I8" s="28">
        <v>0.68899999999999995</v>
      </c>
      <c r="J8" s="28">
        <v>0.23100000000000001</v>
      </c>
      <c r="K8" s="28">
        <v>0.41799999999999998</v>
      </c>
      <c r="L8" s="28">
        <v>0.112</v>
      </c>
      <c r="M8" s="28">
        <v>0.85299999999999998</v>
      </c>
      <c r="N8" s="28">
        <v>0.128</v>
      </c>
      <c r="O8" s="62">
        <v>9.0999999999999998E-2</v>
      </c>
      <c r="P8" s="62">
        <v>7.4</v>
      </c>
      <c r="Q8" s="68">
        <v>0.56999999999999995</v>
      </c>
      <c r="R8" s="28">
        <v>0.47199999999999998</v>
      </c>
      <c r="S8" s="28">
        <v>2.1999999999999999E-2</v>
      </c>
      <c r="T8" s="28">
        <v>7.4999999999999997E-2</v>
      </c>
      <c r="U8" s="62">
        <v>5.8000000000000003E-2</v>
      </c>
      <c r="V8" s="62">
        <v>0.66700000000000004</v>
      </c>
      <c r="W8" s="16">
        <f>0.03</f>
        <v>0.03</v>
      </c>
      <c r="X8" s="32">
        <f t="shared" si="0"/>
        <v>1.4529999999999998</v>
      </c>
      <c r="Y8" s="27">
        <v>0.69699999999999995</v>
      </c>
      <c r="Z8" s="28">
        <v>0.69299999999999995</v>
      </c>
      <c r="AA8" s="62">
        <v>6.3E-2</v>
      </c>
      <c r="AB8" s="213" t="s">
        <v>69</v>
      </c>
      <c r="AC8" s="40">
        <f>N8/(U8+N8)</f>
        <v>0.68817204301075274</v>
      </c>
    </row>
    <row r="9" spans="1:32" x14ac:dyDescent="0.25">
      <c r="A9" s="5">
        <v>2006</v>
      </c>
      <c r="B9" s="233">
        <v>9.26</v>
      </c>
      <c r="C9" s="25">
        <v>1.4359999999999999</v>
      </c>
      <c r="D9" s="25">
        <v>0.33900000000000002</v>
      </c>
      <c r="E9" s="25"/>
      <c r="F9" s="35">
        <v>4.53</v>
      </c>
      <c r="G9" s="36">
        <v>1.526</v>
      </c>
      <c r="H9" s="36">
        <v>0.11</v>
      </c>
      <c r="I9" s="36">
        <v>0.70599999999999996</v>
      </c>
      <c r="J9" s="36">
        <v>0.23100000000000001</v>
      </c>
      <c r="K9" s="36">
        <v>0.376</v>
      </c>
      <c r="L9" s="36">
        <v>0.10299999999999999</v>
      </c>
      <c r="M9" s="36">
        <v>0.81399999999999995</v>
      </c>
      <c r="N9" s="100">
        <f>0.71*AD9</f>
        <v>0.15903999999999999</v>
      </c>
      <c r="O9" s="63">
        <v>8.5000000000000006E-2</v>
      </c>
      <c r="P9" s="63">
        <v>7.1289999999999996</v>
      </c>
      <c r="Q9" s="35">
        <f>SUM(R9:T9)</f>
        <v>0.57100000000000006</v>
      </c>
      <c r="R9" s="26">
        <v>0.45900000000000002</v>
      </c>
      <c r="S9" s="26">
        <v>2.8000000000000001E-2</v>
      </c>
      <c r="T9" s="26">
        <v>8.4000000000000005E-2</v>
      </c>
      <c r="U9" s="69">
        <f t="shared" ref="U9:U17" si="1">AD9-N9</f>
        <v>6.4960000000000018E-2</v>
      </c>
      <c r="V9" s="67">
        <v>0.66400000000000003</v>
      </c>
      <c r="W9" s="34">
        <v>0.03</v>
      </c>
      <c r="X9" s="32">
        <f t="shared" si="0"/>
        <v>1.3129999999999999</v>
      </c>
      <c r="Y9" s="35">
        <v>0.57899999999999996</v>
      </c>
      <c r="Z9" s="36">
        <v>0.67500000000000004</v>
      </c>
      <c r="AA9" s="63">
        <v>5.8999999999999997E-2</v>
      </c>
      <c r="AB9" s="213" t="s">
        <v>74</v>
      </c>
      <c r="AC9" s="52" t="s">
        <v>91</v>
      </c>
      <c r="AD9" s="34">
        <v>0.224</v>
      </c>
    </row>
    <row r="10" spans="1:32" x14ac:dyDescent="0.25">
      <c r="A10" s="5">
        <v>2005</v>
      </c>
      <c r="B10" s="233">
        <v>8.8439999999999994</v>
      </c>
      <c r="C10" s="25">
        <v>1.347</v>
      </c>
      <c r="D10" s="25">
        <v>0.33800000000000002</v>
      </c>
      <c r="E10" s="25"/>
      <c r="F10" s="25">
        <v>4.3179999999999996</v>
      </c>
      <c r="G10" s="26">
        <v>1.486</v>
      </c>
      <c r="H10" s="26">
        <v>0.125</v>
      </c>
      <c r="I10" s="26">
        <v>0.70899999999999996</v>
      </c>
      <c r="J10" s="26">
        <v>0.20899999999999999</v>
      </c>
      <c r="K10" s="26">
        <v>0.34699999999999998</v>
      </c>
      <c r="L10" s="26">
        <v>9.7000000000000003E-2</v>
      </c>
      <c r="M10" s="26">
        <v>0.76300000000000001</v>
      </c>
      <c r="N10" s="100">
        <f t="shared" ref="N10:N17" si="2">0.71*AD10</f>
        <v>0.16826999999999998</v>
      </c>
      <c r="O10" s="67">
        <v>7.5999999999999998E-2</v>
      </c>
      <c r="P10" s="67">
        <v>6.8220000000000001</v>
      </c>
      <c r="Q10" s="25">
        <v>0.54700000000000004</v>
      </c>
      <c r="R10" s="26">
        <v>0.42599999999999999</v>
      </c>
      <c r="S10" s="26">
        <v>3.1E-2</v>
      </c>
      <c r="T10" s="26">
        <v>0.09</v>
      </c>
      <c r="U10" s="69">
        <f t="shared" si="1"/>
        <v>6.8730000000000013E-2</v>
      </c>
      <c r="V10" s="67">
        <v>0.65200000000000002</v>
      </c>
      <c r="W10" s="7"/>
      <c r="X10" s="32">
        <f t="shared" si="0"/>
        <v>1.0779999999999998</v>
      </c>
      <c r="Y10" s="35">
        <v>0.59299999999999997</v>
      </c>
      <c r="Z10" s="36">
        <v>0.42399999999999999</v>
      </c>
      <c r="AA10" s="63">
        <v>6.0999999999999999E-2</v>
      </c>
      <c r="AB10" s="213" t="s">
        <v>70</v>
      </c>
      <c r="AD10" s="34">
        <v>0.23699999999999999</v>
      </c>
    </row>
    <row r="11" spans="1:32" x14ac:dyDescent="0.25">
      <c r="A11" s="5">
        <v>2004</v>
      </c>
      <c r="B11" s="235">
        <v>8.5030000000000001</v>
      </c>
      <c r="C11" s="35">
        <v>1.272</v>
      </c>
      <c r="D11" s="35">
        <v>0.314</v>
      </c>
      <c r="E11" s="35"/>
      <c r="F11" s="23">
        <v>4.1870000000000003</v>
      </c>
      <c r="G11" s="24">
        <v>1.4370000000000001</v>
      </c>
      <c r="H11" s="24">
        <v>0.13200000000000001</v>
      </c>
      <c r="I11" s="24">
        <v>0.68400000000000005</v>
      </c>
      <c r="J11" s="24">
        <v>0.21</v>
      </c>
      <c r="K11" s="24">
        <v>0.32</v>
      </c>
      <c r="L11" s="24">
        <v>9.1999999999999998E-2</v>
      </c>
      <c r="M11" s="24">
        <v>0.73099999999999998</v>
      </c>
      <c r="N11" s="100">
        <f t="shared" si="2"/>
        <v>0.15975</v>
      </c>
      <c r="O11" s="207">
        <v>6.8000000000000005E-2</v>
      </c>
      <c r="P11" s="207">
        <f>F11+G11+M11+N11+O11</f>
        <v>6.5827499999999999</v>
      </c>
      <c r="Q11" s="23">
        <v>0.52700000000000002</v>
      </c>
      <c r="R11" s="24">
        <v>0.40600000000000003</v>
      </c>
      <c r="S11" s="24">
        <v>3.1E-2</v>
      </c>
      <c r="T11" s="24">
        <v>0.09</v>
      </c>
      <c r="U11" s="69">
        <f t="shared" si="1"/>
        <v>6.5250000000000002E-2</v>
      </c>
      <c r="V11" s="207">
        <f>Q11+U11</f>
        <v>0.59225000000000005</v>
      </c>
      <c r="W11" s="13"/>
      <c r="X11" s="32">
        <f t="shared" si="0"/>
        <v>1.0580000000000001</v>
      </c>
      <c r="Y11" s="35">
        <v>0.61099999999999999</v>
      </c>
      <c r="Z11" s="36">
        <v>0.39700000000000002</v>
      </c>
      <c r="AA11" s="63">
        <v>0.05</v>
      </c>
      <c r="AB11" s="213" t="s">
        <v>73</v>
      </c>
      <c r="AD11" s="34">
        <v>0.22500000000000001</v>
      </c>
    </row>
    <row r="12" spans="1:32" x14ac:dyDescent="0.25">
      <c r="A12" s="5">
        <v>2003</v>
      </c>
      <c r="B12" s="32">
        <v>8.3109999999999999</v>
      </c>
      <c r="C12" s="23">
        <v>1.2589999999999999</v>
      </c>
      <c r="D12" s="23">
        <v>0.28599999999999998</v>
      </c>
      <c r="E12" s="23"/>
      <c r="F12" s="23">
        <v>4.0510000000000002</v>
      </c>
      <c r="G12" s="24">
        <v>1.409</v>
      </c>
      <c r="H12" s="24">
        <v>0.16300000000000001</v>
      </c>
      <c r="I12" s="24">
        <v>0.65100000000000002</v>
      </c>
      <c r="J12" s="24">
        <v>0.223</v>
      </c>
      <c r="K12" s="24">
        <v>0.28599999999999998</v>
      </c>
      <c r="L12" s="24">
        <v>8.5999999999999993E-2</v>
      </c>
      <c r="M12" s="24">
        <v>0.73299999999999998</v>
      </c>
      <c r="N12" s="100">
        <f t="shared" si="2"/>
        <v>0.16188</v>
      </c>
      <c r="O12" s="207">
        <v>6.3E-2</v>
      </c>
      <c r="P12" s="207">
        <f t="shared" ref="P12:P17" si="3">F12+G12+M12+N12+O12</f>
        <v>6.4178799999999994</v>
      </c>
      <c r="Q12" s="23">
        <v>0.498</v>
      </c>
      <c r="R12" s="24">
        <v>0.38400000000000001</v>
      </c>
      <c r="S12" s="24">
        <v>3.2000000000000001E-2</v>
      </c>
      <c r="T12" s="24">
        <v>8.2000000000000003E-2</v>
      </c>
      <c r="U12" s="69">
        <f t="shared" si="1"/>
        <v>6.6120000000000012E-2</v>
      </c>
      <c r="V12" s="207">
        <f t="shared" ref="V12:V17" si="4">Q12+U12</f>
        <v>0.56411999999999995</v>
      </c>
      <c r="W12" s="13"/>
      <c r="X12" s="32">
        <f t="shared" si="0"/>
        <v>0.98599999999999999</v>
      </c>
      <c r="Y12" s="35">
        <v>0.59</v>
      </c>
      <c r="Z12" s="36">
        <v>0.34599999999999997</v>
      </c>
      <c r="AA12" s="63">
        <v>0.05</v>
      </c>
      <c r="AB12" s="214" t="s">
        <v>71</v>
      </c>
      <c r="AD12" s="34">
        <v>0.22800000000000001</v>
      </c>
    </row>
    <row r="13" spans="1:32" x14ac:dyDescent="0.25">
      <c r="A13" s="5">
        <v>2002</v>
      </c>
      <c r="B13" s="31">
        <v>8.0820000000000007</v>
      </c>
      <c r="C13" s="31">
        <v>1.246</v>
      </c>
      <c r="D13" s="31">
        <v>0.316</v>
      </c>
      <c r="E13" s="14"/>
      <c r="F13" s="23">
        <v>4.0250000000000004</v>
      </c>
      <c r="G13" s="24">
        <v>1.3680000000000001</v>
      </c>
      <c r="H13" s="24">
        <v>0.17100000000000001</v>
      </c>
      <c r="I13" s="24">
        <v>0.627</v>
      </c>
      <c r="J13" s="24">
        <v>0.22900000000000001</v>
      </c>
      <c r="K13" s="24">
        <v>0.25800000000000001</v>
      </c>
      <c r="L13" s="24">
        <v>8.2000000000000003E-2</v>
      </c>
      <c r="M13" s="24">
        <v>0.71599999999999997</v>
      </c>
      <c r="N13" s="100">
        <f t="shared" si="2"/>
        <v>0.16826999999999998</v>
      </c>
      <c r="O13" s="207">
        <v>6.0999999999999999E-2</v>
      </c>
      <c r="P13" s="207">
        <f t="shared" si="3"/>
        <v>6.3382700000000005</v>
      </c>
      <c r="Q13" s="23">
        <v>0.443</v>
      </c>
      <c r="R13" s="24">
        <v>0.34</v>
      </c>
      <c r="S13" s="24">
        <v>2.5000000000000001E-2</v>
      </c>
      <c r="T13" s="24">
        <v>7.8E-2</v>
      </c>
      <c r="U13" s="69">
        <f t="shared" si="1"/>
        <v>6.8730000000000013E-2</v>
      </c>
      <c r="V13" s="207">
        <f t="shared" si="4"/>
        <v>0.51173000000000002</v>
      </c>
      <c r="W13" s="13"/>
      <c r="X13" s="32">
        <f t="shared" si="0"/>
        <v>0.997</v>
      </c>
      <c r="Y13" s="35">
        <v>0.56799999999999995</v>
      </c>
      <c r="Z13" s="36">
        <v>0.38200000000000001</v>
      </c>
      <c r="AA13" s="63">
        <v>4.7E-2</v>
      </c>
      <c r="AB13" s="214" t="s">
        <v>72</v>
      </c>
      <c r="AD13" s="34">
        <v>0.23699999999999999</v>
      </c>
    </row>
    <row r="14" spans="1:32" x14ac:dyDescent="0.25">
      <c r="A14" s="5">
        <v>2001</v>
      </c>
      <c r="B14" s="32">
        <v>8.593</v>
      </c>
      <c r="C14" s="23">
        <v>1.2869999999999999</v>
      </c>
      <c r="D14" s="23">
        <v>0.23699999999999999</v>
      </c>
      <c r="E14" s="23">
        <f>47077/6.55957/1000</f>
        <v>7.1768423844855684</v>
      </c>
      <c r="F14" s="23">
        <f>28076/6.55957/1000</f>
        <v>4.2801586079575333</v>
      </c>
      <c r="G14" s="24">
        <f>8757/6.55957/1000</f>
        <v>1.3349960439480029</v>
      </c>
      <c r="H14" s="24">
        <f>1231/6.55957/1000</f>
        <v>0.18766474021925217</v>
      </c>
      <c r="I14" s="36">
        <f>4202/6.55957/1000</f>
        <v>0.64059077043159851</v>
      </c>
      <c r="J14" s="24">
        <f>1576/6.55957/1000</f>
        <v>0.24025965116615877</v>
      </c>
      <c r="K14" s="24">
        <f>1711/6.55957/1000</f>
        <v>0.26084026849320918</v>
      </c>
      <c r="L14" s="24">
        <f>36/6.55957/1000</f>
        <v>5.4881646205467731E-3</v>
      </c>
      <c r="M14" s="24">
        <f>4965/6.55957/1000</f>
        <v>0.75690937058374252</v>
      </c>
      <c r="N14" s="100">
        <f t="shared" si="2"/>
        <v>0.1893096651152438</v>
      </c>
      <c r="O14" s="207">
        <f>401/6.55957/1000</f>
        <v>6.1132055912201562E-2</v>
      </c>
      <c r="P14" s="207">
        <f t="shared" si="3"/>
        <v>6.6225057435167241</v>
      </c>
      <c r="Q14" s="23">
        <f>3074/6.55957/1000</f>
        <v>0.46862827898779946</v>
      </c>
      <c r="R14" s="24">
        <f>2374/6.55957/1000</f>
        <v>0.36191396692161226</v>
      </c>
      <c r="S14" s="24">
        <f>209/6.55957/1000</f>
        <v>3.1861844602618768E-2</v>
      </c>
      <c r="T14" s="24">
        <f>478/6.55957/1000</f>
        <v>7.2870630239482162E-2</v>
      </c>
      <c r="U14" s="69">
        <f t="shared" si="1"/>
        <v>7.7323666032986932E-2</v>
      </c>
      <c r="V14" s="207">
        <f t="shared" si="4"/>
        <v>0.54595194502078637</v>
      </c>
      <c r="W14" s="13"/>
      <c r="X14" s="32">
        <f>SUM(Y14:AA14)</f>
        <v>1.125</v>
      </c>
      <c r="Y14" s="35">
        <v>0.65400000000000003</v>
      </c>
      <c r="Z14" s="36">
        <v>0.42499999999999999</v>
      </c>
      <c r="AA14" s="63">
        <v>4.5999999999999999E-2</v>
      </c>
      <c r="AB14" s="214" t="s">
        <v>102</v>
      </c>
      <c r="AD14" s="34">
        <f>1749/6.55957/1000</f>
        <v>0.26663333114823073</v>
      </c>
    </row>
    <row r="15" spans="1:32" x14ac:dyDescent="0.25">
      <c r="A15" s="5">
        <v>2000</v>
      </c>
      <c r="B15" s="32">
        <f>59840/6.55957/1000</f>
        <v>9.1225491914866375</v>
      </c>
      <c r="C15" s="23">
        <v>1.554</v>
      </c>
      <c r="D15" s="23">
        <v>0.36599999999999999</v>
      </c>
      <c r="E15" s="23">
        <f>49350/6.55957/1000</f>
        <v>7.5233590006662023</v>
      </c>
      <c r="F15" s="23">
        <f>29362/6.55957/1000</f>
        <v>4.476208044124844</v>
      </c>
      <c r="G15" s="24">
        <f>9501/6.55957/1000</f>
        <v>1.4484181127726361</v>
      </c>
      <c r="H15" s="24">
        <f>1510/6.55957/1000</f>
        <v>0.23019801602848969</v>
      </c>
      <c r="I15" s="24">
        <f>4552/6.55957/1000</f>
        <v>0.69394792646469206</v>
      </c>
      <c r="J15" s="24">
        <f>1728/6.55957/1000</f>
        <v>0.26343190178624515</v>
      </c>
      <c r="K15" s="24">
        <f>1711/6.55957/1000</f>
        <v>0.26084026849320918</v>
      </c>
      <c r="L15" s="24"/>
      <c r="M15" s="24">
        <f>4784/6.55957/1000</f>
        <v>0.72931609846377121</v>
      </c>
      <c r="N15" s="100">
        <f t="shared" si="2"/>
        <v>0.20998327634280906</v>
      </c>
      <c r="O15" s="207">
        <f>400/6.55957/1000</f>
        <v>6.097960689496415E-2</v>
      </c>
      <c r="P15" s="207">
        <f t="shared" si="3"/>
        <v>6.9249051385990246</v>
      </c>
      <c r="Q15" s="23">
        <f>3336/6.55957/1000</f>
        <v>0.50856992150400104</v>
      </c>
      <c r="R15" s="24">
        <f>2587/6.55957/1000</f>
        <v>0.3943856075931807</v>
      </c>
      <c r="S15" s="24">
        <f>213/6.55957/1000</f>
        <v>3.2471640671568408E-2</v>
      </c>
      <c r="T15" s="24">
        <f>505/6.55957/1000</f>
        <v>7.6986753704892233E-2</v>
      </c>
      <c r="U15" s="69">
        <f t="shared" si="1"/>
        <v>8.5767817097767096E-2</v>
      </c>
      <c r="V15" s="207">
        <f t="shared" si="4"/>
        <v>0.59433773860176808</v>
      </c>
      <c r="W15" s="13"/>
      <c r="X15" s="32">
        <f>SUM(Y15:AA15)</f>
        <v>1.2410704207745324</v>
      </c>
      <c r="Y15" s="35">
        <v>0.7</v>
      </c>
      <c r="Z15" s="36">
        <v>0.49</v>
      </c>
      <c r="AA15" s="63">
        <f>335/6.55957/1000</f>
        <v>5.1070420774532478E-2</v>
      </c>
      <c r="AB15" s="214" t="s">
        <v>107</v>
      </c>
      <c r="AD15" s="34">
        <f>1940/6.55957/1000</f>
        <v>0.29575109344057615</v>
      </c>
    </row>
    <row r="16" spans="1:32" x14ac:dyDescent="0.25">
      <c r="A16" s="5">
        <v>1999</v>
      </c>
      <c r="B16" s="32">
        <f>60611/6.55957/1000</f>
        <v>9.2400873837766806</v>
      </c>
      <c r="C16" s="23">
        <f>9823/6.55957/1000</f>
        <v>1.4975066963230823</v>
      </c>
      <c r="D16" s="23">
        <f>2358/6.55957/1000</f>
        <v>0.35947478264581367</v>
      </c>
      <c r="E16" s="23">
        <f>46556/6.55957/1000</f>
        <v>7.0974164465048784</v>
      </c>
      <c r="F16" s="23">
        <f>27866/6.55957/1000</f>
        <v>4.2481443143376776</v>
      </c>
      <c r="G16" s="24">
        <f>9299/6.55957/1000</f>
        <v>1.4176234112906791</v>
      </c>
      <c r="H16" s="24">
        <f>1530/6.55957/1000</f>
        <v>0.2332469963732379</v>
      </c>
      <c r="I16" s="24">
        <f>4432/6.55957/1000</f>
        <v>0.6756540443962028</v>
      </c>
      <c r="J16" s="24">
        <f>1767/6.55957/1000</f>
        <v>0.26937741345850413</v>
      </c>
      <c r="K16" s="24">
        <f>1570/6.55957/1000</f>
        <v>0.23934495706273429</v>
      </c>
      <c r="L16" s="24"/>
      <c r="M16" s="24">
        <f>4383/6.55957/1000</f>
        <v>0.66818404255156971</v>
      </c>
      <c r="N16" s="100">
        <f t="shared" si="2"/>
        <v>0.1751303820219923</v>
      </c>
      <c r="O16" s="207">
        <f>384/6.55957/1000</f>
        <v>5.8540422619165589E-2</v>
      </c>
      <c r="P16" s="207">
        <f t="shared" si="3"/>
        <v>6.5676225728210831</v>
      </c>
      <c r="Q16" s="23">
        <f>2927/6.55957/1000</f>
        <v>0.44621827345390019</v>
      </c>
      <c r="R16" s="24">
        <f>2076/6.55957/1000</f>
        <v>0.31648415978486394</v>
      </c>
      <c r="S16" s="24">
        <f>202/6.55957/1000</f>
        <v>3.0794701481956895E-2</v>
      </c>
      <c r="T16" s="24">
        <f>566/6.55957/1000</f>
        <v>8.6286143756374278E-2</v>
      </c>
      <c r="U16" s="69">
        <f t="shared" si="1"/>
        <v>7.1532127868137702E-2</v>
      </c>
      <c r="V16" s="207">
        <f t="shared" si="4"/>
        <v>0.51775040132203787</v>
      </c>
      <c r="W16" s="13"/>
      <c r="X16" s="32">
        <f t="shared" ref="X16:X18" si="5">SUM(Y16:AA16)</f>
        <v>1.1314918508377836</v>
      </c>
      <c r="Y16" s="35">
        <f>4180.5/6.55957/1000</f>
        <v>0.6373131165609941</v>
      </c>
      <c r="Z16" s="36">
        <f>(2961.5+9.8)/6.55957/1000</f>
        <v>0.45297176491751745</v>
      </c>
      <c r="AA16" s="63">
        <f>270.3/6.55957/1000</f>
        <v>4.1206969359272032E-2</v>
      </c>
      <c r="AB16" s="214" t="s">
        <v>108</v>
      </c>
      <c r="AD16" s="34">
        <f>1618/6.55957/1000</f>
        <v>0.24666250989013</v>
      </c>
    </row>
    <row r="17" spans="1:30" x14ac:dyDescent="0.25">
      <c r="A17" s="5">
        <v>1998</v>
      </c>
      <c r="B17" s="32">
        <f>53785/6.55957/1000</f>
        <v>8.199470392114117</v>
      </c>
      <c r="C17" s="23">
        <f>9575/6.55957/1000</f>
        <v>1.4596993400482046</v>
      </c>
      <c r="D17" s="23">
        <f>2419/6.55957/1000</f>
        <v>0.36877417269729573</v>
      </c>
      <c r="E17" s="23">
        <f>43595/6.55957/1000</f>
        <v>6.6460149064649059</v>
      </c>
      <c r="F17" s="23">
        <f>25265/6.55957/1000</f>
        <v>3.8516244205031733</v>
      </c>
      <c r="G17" s="24">
        <f>8242/6.55957/1000</f>
        <v>1.2564848000707363</v>
      </c>
      <c r="H17" s="24">
        <f>1442/6.55957/1000</f>
        <v>0.21983148285634577</v>
      </c>
      <c r="I17" s="24">
        <f>3732/6.55957/1000</f>
        <v>0.56893973233001549</v>
      </c>
      <c r="J17" s="24">
        <f>1641/6.55957/1000</f>
        <v>0.25016883728659045</v>
      </c>
      <c r="K17" s="24">
        <f>1428/6.55957/1000</f>
        <v>0.21769719661502202</v>
      </c>
      <c r="L17" s="24"/>
      <c r="M17" s="24">
        <f>4175/6.55957/1000</f>
        <v>0.63647464696618827</v>
      </c>
      <c r="N17" s="100">
        <f t="shared" si="2"/>
        <v>0.17004315831677991</v>
      </c>
      <c r="O17" s="207">
        <f>345/6.55957/1000</f>
        <v>5.2594910946906583E-2</v>
      </c>
      <c r="P17" s="207">
        <f t="shared" si="3"/>
        <v>5.9672219368037842</v>
      </c>
      <c r="Q17" s="23">
        <f>SUM(R17:T17)</f>
        <v>0.36618253940425971</v>
      </c>
      <c r="R17" s="24">
        <f>1766/6.55957/1000</f>
        <v>0.2692249644412667</v>
      </c>
      <c r="S17" s="24">
        <f>166/6.55957/1000</f>
        <v>2.5306536861410125E-2</v>
      </c>
      <c r="T17" s="24">
        <f>470/6.55957/1000</f>
        <v>7.1651038101582881E-2</v>
      </c>
      <c r="U17" s="69">
        <f t="shared" si="1"/>
        <v>6.9454247763191812E-2</v>
      </c>
      <c r="V17" s="207">
        <f t="shared" si="4"/>
        <v>0.43563678716745152</v>
      </c>
      <c r="W17" s="13"/>
      <c r="X17" s="32">
        <f t="shared" si="5"/>
        <v>1.0616092213361545</v>
      </c>
      <c r="Y17" s="35">
        <f>3880/6.55957/1000</f>
        <v>0.5915021868811523</v>
      </c>
      <c r="Z17" s="36">
        <f>(2808.2+6.8)/6.55957/1000</f>
        <v>0.42914398352331024</v>
      </c>
      <c r="AA17" s="63">
        <f>268.7/6.55957/1000</f>
        <v>4.0963050931692169E-2</v>
      </c>
      <c r="AB17" s="214" t="s">
        <v>109</v>
      </c>
      <c r="AD17" s="34">
        <f>1571/6.55957/1000</f>
        <v>0.23949740607997172</v>
      </c>
    </row>
    <row r="18" spans="1:30" ht="15.75" thickBot="1" x14ac:dyDescent="0.3">
      <c r="A18" s="5">
        <v>1997</v>
      </c>
      <c r="B18" s="33">
        <f>52493/6.55957/1000</f>
        <v>8.0025062618433829</v>
      </c>
      <c r="C18" s="29">
        <f>8935/6.55957/1000</f>
        <v>1.3621319690162619</v>
      </c>
      <c r="D18" s="29">
        <f>2095/6.55957/1000</f>
        <v>0.31938069111237471</v>
      </c>
      <c r="E18" s="29">
        <f>43498/6.55957/1000</f>
        <v>6.6312273517928766</v>
      </c>
      <c r="F18" s="102">
        <f>F17*($E$18/$E$17)</f>
        <v>3.8430544567736442</v>
      </c>
      <c r="G18" s="208">
        <f t="shared" ref="G18:V18" si="6">G17*($E$18/$E$17)</f>
        <v>1.2536890889660943</v>
      </c>
      <c r="H18" s="208">
        <f t="shared" si="6"/>
        <v>0.21934235213408251</v>
      </c>
      <c r="I18" s="208">
        <f t="shared" si="6"/>
        <v>0.56767382674368649</v>
      </c>
      <c r="J18" s="208">
        <f t="shared" si="6"/>
        <v>0.24961220516784288</v>
      </c>
      <c r="K18" s="208">
        <f t="shared" si="6"/>
        <v>0.21721281473472248</v>
      </c>
      <c r="L18" s="208">
        <f t="shared" si="6"/>
        <v>0</v>
      </c>
      <c r="M18" s="208">
        <f t="shared" si="6"/>
        <v>0.63505847445200725</v>
      </c>
      <c r="N18" s="208">
        <f t="shared" si="6"/>
        <v>0.16966480790144034</v>
      </c>
      <c r="O18" s="208">
        <f t="shared" si="6"/>
        <v>5.2477885912800608E-2</v>
      </c>
      <c r="P18" s="208">
        <f t="shared" si="6"/>
        <v>5.9539447140059867</v>
      </c>
      <c r="Q18" s="208">
        <f t="shared" si="6"/>
        <v>0.36536777380448421</v>
      </c>
      <c r="R18" s="208">
        <f t="shared" si="6"/>
        <v>0.26862593194784307</v>
      </c>
      <c r="S18" s="208">
        <f t="shared" si="6"/>
        <v>2.5250229163840291E-2</v>
      </c>
      <c r="T18" s="208">
        <f t="shared" si="6"/>
        <v>7.1491612692800827E-2</v>
      </c>
      <c r="U18" s="208">
        <f t="shared" si="6"/>
        <v>6.929971026960241E-2</v>
      </c>
      <c r="V18" s="208">
        <f t="shared" si="6"/>
        <v>0.43466748407408662</v>
      </c>
      <c r="W18" s="13"/>
      <c r="X18" s="33">
        <f t="shared" si="5"/>
        <v>0</v>
      </c>
      <c r="Y18" s="104"/>
      <c r="Z18" s="105"/>
      <c r="AA18" s="106"/>
      <c r="AB18" s="215"/>
      <c r="AD18" s="243">
        <f>1571/6.55957/1000</f>
        <v>0.23949740607997172</v>
      </c>
    </row>
    <row r="19" spans="1:30" x14ac:dyDescent="0.25">
      <c r="B19" s="34"/>
      <c r="C19" s="14"/>
      <c r="D19" s="14"/>
      <c r="E19" s="14"/>
      <c r="F19" s="34"/>
      <c r="G19" s="14"/>
      <c r="H19" s="14"/>
      <c r="I19" s="14"/>
      <c r="J19" s="14"/>
      <c r="K19" s="14"/>
      <c r="L19" s="14"/>
      <c r="M19" s="14"/>
      <c r="N19" s="101"/>
      <c r="O19" s="14"/>
      <c r="P19" s="14"/>
      <c r="Q19" s="14"/>
      <c r="R19" s="14"/>
      <c r="S19" s="14"/>
      <c r="T19" s="14"/>
      <c r="U19" s="14"/>
      <c r="V19" s="14"/>
      <c r="W19" s="14"/>
      <c r="X19" s="14"/>
      <c r="Y19" s="14"/>
      <c r="Z19" s="14"/>
      <c r="AA19" s="14"/>
      <c r="AB19" s="14"/>
      <c r="AC19" t="s">
        <v>93</v>
      </c>
      <c r="AD19" s="34"/>
    </row>
    <row r="20" spans="1:30" x14ac:dyDescent="0.25">
      <c r="A20" s="1"/>
      <c r="B20" s="96" t="s">
        <v>13</v>
      </c>
      <c r="C20" s="17"/>
      <c r="D20" s="17"/>
      <c r="E20" s="17"/>
      <c r="F20" s="14"/>
      <c r="G20" s="14"/>
      <c r="H20" s="14"/>
      <c r="I20" s="14"/>
      <c r="J20" s="14"/>
      <c r="K20" s="14"/>
      <c r="L20" s="14"/>
      <c r="M20" s="14"/>
      <c r="N20" s="101" t="s">
        <v>92</v>
      </c>
      <c r="O20" s="14"/>
      <c r="P20" s="14"/>
      <c r="Q20" s="14"/>
      <c r="R20" s="14"/>
      <c r="S20" s="14"/>
      <c r="T20" s="14"/>
      <c r="U20" s="53"/>
      <c r="V20" s="14"/>
      <c r="W20" s="14"/>
      <c r="X20" s="14"/>
      <c r="Y20" s="14"/>
      <c r="Z20" s="14"/>
      <c r="AA20" s="14"/>
      <c r="AB20" s="14"/>
    </row>
    <row r="21" spans="1:30" x14ac:dyDescent="0.25">
      <c r="C21" s="1"/>
      <c r="D21" s="1"/>
      <c r="E21" s="1"/>
      <c r="H21" s="14"/>
      <c r="I21" s="14"/>
      <c r="J21" s="14"/>
      <c r="K21" s="14"/>
      <c r="L21" s="14"/>
      <c r="M21" s="14"/>
      <c r="N21" s="14"/>
      <c r="O21" s="14"/>
      <c r="P21" s="14"/>
      <c r="Q21" s="14"/>
      <c r="R21" s="14"/>
      <c r="S21" s="14"/>
      <c r="T21" s="14"/>
      <c r="U21" s="14"/>
      <c r="V21" s="14"/>
      <c r="W21" s="14"/>
      <c r="X21" s="14"/>
      <c r="Y21" s="14"/>
      <c r="Z21" s="14"/>
      <c r="AA21" s="14"/>
      <c r="AB21" s="14"/>
    </row>
    <row r="22" spans="1:30" ht="35.25" customHeight="1" x14ac:dyDescent="0.25">
      <c r="B22" s="286" t="s">
        <v>101</v>
      </c>
      <c r="C22" s="286"/>
      <c r="D22" s="286"/>
      <c r="E22" s="286"/>
      <c r="F22" s="286"/>
      <c r="G22" s="286"/>
      <c r="H22" s="286"/>
      <c r="I22" s="286"/>
      <c r="J22" s="286"/>
      <c r="K22" s="14"/>
      <c r="L22" s="14"/>
      <c r="M22" s="14"/>
      <c r="N22" s="14"/>
      <c r="O22" s="14"/>
      <c r="P22" s="14"/>
      <c r="Q22" s="34"/>
      <c r="R22" s="14"/>
      <c r="S22" s="14"/>
      <c r="T22" s="14"/>
      <c r="U22" s="14"/>
      <c r="V22" s="14"/>
      <c r="W22" s="14"/>
      <c r="X22" s="14"/>
      <c r="Y22" s="14"/>
      <c r="Z22" s="14"/>
      <c r="AA22" s="14"/>
      <c r="AB22" s="14"/>
    </row>
    <row r="23" spans="1:30" x14ac:dyDescent="0.25">
      <c r="B23" s="1"/>
      <c r="H23" s="14"/>
      <c r="I23" s="14"/>
      <c r="J23" s="14"/>
      <c r="K23" s="14"/>
      <c r="L23" s="14"/>
      <c r="M23" s="14"/>
      <c r="N23" s="14"/>
      <c r="O23" s="14"/>
      <c r="P23" s="14"/>
      <c r="Q23" s="34"/>
      <c r="R23" s="14"/>
      <c r="S23" s="14"/>
      <c r="T23" s="14"/>
      <c r="U23" s="14"/>
      <c r="V23" s="14"/>
      <c r="W23" s="14"/>
      <c r="X23" s="14"/>
      <c r="Y23" s="14"/>
      <c r="Z23" s="14"/>
      <c r="AA23" s="14"/>
      <c r="AB23" s="14"/>
    </row>
    <row r="24" spans="1:30" x14ac:dyDescent="0.25">
      <c r="B24" s="287" t="s">
        <v>51</v>
      </c>
      <c r="C24" s="287"/>
      <c r="D24" s="287"/>
      <c r="E24" s="287"/>
      <c r="F24" s="287"/>
      <c r="G24" s="287"/>
      <c r="H24" s="287"/>
      <c r="I24" s="287"/>
      <c r="J24" s="287"/>
      <c r="Q24" s="34"/>
    </row>
    <row r="25" spans="1:30" x14ac:dyDescent="0.25">
      <c r="Q25" s="34"/>
    </row>
    <row r="26" spans="1:30" x14ac:dyDescent="0.25">
      <c r="B26" s="97"/>
      <c r="C26" s="284" t="s">
        <v>128</v>
      </c>
      <c r="D26" s="284"/>
      <c r="E26" s="284"/>
      <c r="F26" s="284"/>
      <c r="G26" s="284"/>
      <c r="H26" s="284"/>
      <c r="I26" s="284"/>
      <c r="J26" s="284"/>
      <c r="K26" s="284"/>
      <c r="Q26" s="34"/>
    </row>
    <row r="27" spans="1:30" x14ac:dyDescent="0.25">
      <c r="B27" s="8"/>
      <c r="C27" s="99"/>
      <c r="D27" s="99"/>
      <c r="E27" s="99"/>
      <c r="F27" s="99"/>
      <c r="G27" s="99"/>
      <c r="H27" s="99"/>
      <c r="I27" s="99"/>
      <c r="J27" s="99"/>
      <c r="K27" s="99"/>
      <c r="Q27" s="34"/>
    </row>
    <row r="28" spans="1:30" ht="57" customHeight="1" x14ac:dyDescent="0.25">
      <c r="B28" s="98"/>
      <c r="C28" s="285" t="s">
        <v>129</v>
      </c>
      <c r="D28" s="285"/>
      <c r="E28" s="285"/>
      <c r="F28" s="285"/>
      <c r="G28" s="285"/>
      <c r="H28" s="285"/>
      <c r="I28" s="285"/>
      <c r="J28" s="285"/>
      <c r="Q28" s="34"/>
    </row>
    <row r="29" spans="1:30" x14ac:dyDescent="0.25">
      <c r="Q29" s="34"/>
    </row>
    <row r="30" spans="1:30" ht="45" customHeight="1" x14ac:dyDescent="0.25">
      <c r="B30" s="103"/>
      <c r="C30" s="288" t="s">
        <v>192</v>
      </c>
      <c r="D30" s="288"/>
      <c r="E30" s="288"/>
      <c r="F30" s="288"/>
      <c r="G30" s="288"/>
      <c r="H30" s="288"/>
      <c r="I30" s="288"/>
      <c r="J30" s="288"/>
      <c r="Q30" s="34"/>
    </row>
    <row r="31" spans="1:30" x14ac:dyDescent="0.25">
      <c r="Q31" s="34"/>
    </row>
    <row r="32" spans="1:30" x14ac:dyDescent="0.25">
      <c r="Q32" s="34"/>
    </row>
    <row r="33" spans="17:17" x14ac:dyDescent="0.25">
      <c r="Q33" s="34"/>
    </row>
  </sheetData>
  <mergeCells count="10">
    <mergeCell ref="C26:K26"/>
    <mergeCell ref="C28:J28"/>
    <mergeCell ref="B22:J22"/>
    <mergeCell ref="B24:J24"/>
    <mergeCell ref="C30:J30"/>
    <mergeCell ref="Q1:V1"/>
    <mergeCell ref="AB1:AB2"/>
    <mergeCell ref="F1:P1"/>
    <mergeCell ref="C1:D1"/>
    <mergeCell ref="X1:AA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pane xSplit="1" ySplit="2" topLeftCell="B3" activePane="bottomRight" state="frozen"/>
      <selection pane="topRight" activeCell="B1" sqref="B1"/>
      <selection pane="bottomLeft" activeCell="A2" sqref="A2"/>
      <selection pane="bottomRight" activeCell="G26" sqref="G26"/>
    </sheetView>
  </sheetViews>
  <sheetFormatPr baseColWidth="10" defaultRowHeight="15" x14ac:dyDescent="0.25"/>
  <cols>
    <col min="4" max="4" width="15.5703125" customWidth="1"/>
    <col min="5" max="7" width="16.85546875" customWidth="1"/>
    <col min="8" max="8" width="99.7109375" customWidth="1"/>
  </cols>
  <sheetData>
    <row r="1" spans="1:9" ht="15" customHeight="1" x14ac:dyDescent="0.25">
      <c r="A1" s="126"/>
      <c r="B1" s="289" t="s">
        <v>75</v>
      </c>
      <c r="C1" s="289"/>
      <c r="D1" s="289"/>
      <c r="E1" s="289"/>
      <c r="F1" s="289"/>
      <c r="G1" s="289"/>
      <c r="H1" s="129"/>
    </row>
    <row r="2" spans="1:9" ht="66" customHeight="1" x14ac:dyDescent="0.25">
      <c r="A2" s="37" t="s">
        <v>14</v>
      </c>
      <c r="B2" s="130" t="s">
        <v>76</v>
      </c>
      <c r="C2" s="131" t="s">
        <v>77</v>
      </c>
      <c r="D2" s="131" t="s">
        <v>79</v>
      </c>
      <c r="E2" s="131" t="s">
        <v>78</v>
      </c>
      <c r="F2" s="131" t="s">
        <v>80</v>
      </c>
      <c r="G2" s="132" t="s">
        <v>7</v>
      </c>
      <c r="H2" s="37" t="s">
        <v>12</v>
      </c>
      <c r="I2" s="45" t="s">
        <v>85</v>
      </c>
    </row>
    <row r="3" spans="1:9" x14ac:dyDescent="0.25">
      <c r="A3" s="5">
        <v>2012</v>
      </c>
      <c r="B3" s="83">
        <v>8.3000000000000001E-3</v>
      </c>
      <c r="C3" s="83">
        <v>8.5000000000000006E-3</v>
      </c>
      <c r="D3" s="83">
        <v>8.5000000000000006E-3</v>
      </c>
      <c r="E3" s="83">
        <v>8.5000000000000006E-3</v>
      </c>
      <c r="F3" s="83">
        <v>8.5000000000000006E-3</v>
      </c>
      <c r="G3" s="83">
        <v>8.5000000000000006E-3</v>
      </c>
      <c r="H3" s="42" t="s">
        <v>125</v>
      </c>
      <c r="I3" s="84">
        <f>AVERAGE('[1]CSG-1'!F4,'[1]CSG-1'!G4)</f>
        <v>8.7500000000000008E-3</v>
      </c>
    </row>
    <row r="4" spans="1:9" x14ac:dyDescent="0.25">
      <c r="A4" s="5">
        <v>2011</v>
      </c>
      <c r="B4" s="38">
        <v>8.3000000000000001E-3</v>
      </c>
      <c r="C4" s="38">
        <v>8.5000000000000006E-3</v>
      </c>
      <c r="D4" s="38">
        <v>8.5000000000000006E-3</v>
      </c>
      <c r="E4" s="38">
        <v>8.5000000000000006E-3</v>
      </c>
      <c r="F4" s="38">
        <v>8.5000000000000006E-3</v>
      </c>
      <c r="G4" s="38">
        <v>8.5000000000000006E-3</v>
      </c>
      <c r="H4" s="41" t="s">
        <v>124</v>
      </c>
      <c r="I4" s="84">
        <f>AVERAGE('[1]CSG-1'!F5,'[1]CSG-1'!G5)</f>
        <v>1.4999999999999999E-2</v>
      </c>
    </row>
    <row r="5" spans="1:9" x14ac:dyDescent="0.25">
      <c r="A5" s="5">
        <v>2010</v>
      </c>
      <c r="B5" s="38">
        <v>8.3000000000000001E-3</v>
      </c>
      <c r="C5" s="38">
        <v>8.5000000000000006E-3</v>
      </c>
      <c r="D5" s="38">
        <v>8.5000000000000006E-3</v>
      </c>
      <c r="E5" s="38">
        <v>8.5000000000000006E-3</v>
      </c>
      <c r="F5" s="38">
        <v>8.5000000000000006E-3</v>
      </c>
      <c r="G5" s="38">
        <v>8.5000000000000006E-3</v>
      </c>
      <c r="H5" t="s">
        <v>84</v>
      </c>
      <c r="I5" s="46">
        <v>0.03</v>
      </c>
    </row>
    <row r="6" spans="1:9" x14ac:dyDescent="0.25">
      <c r="A6" s="5">
        <v>2009</v>
      </c>
      <c r="B6" s="38">
        <v>8.3000000000000001E-3</v>
      </c>
      <c r="C6" s="38">
        <v>8.5000000000000006E-3</v>
      </c>
      <c r="D6" s="38">
        <v>8.5000000000000006E-3</v>
      </c>
      <c r="E6" s="38">
        <v>8.5000000000000006E-3</v>
      </c>
      <c r="F6" s="38">
        <v>8.5000000000000006E-3</v>
      </c>
      <c r="G6" s="38">
        <v>8.5000000000000006E-3</v>
      </c>
      <c r="H6" t="s">
        <v>84</v>
      </c>
      <c r="I6" s="46">
        <v>0.03</v>
      </c>
    </row>
    <row r="7" spans="1:9" x14ac:dyDescent="0.25">
      <c r="A7" s="5">
        <v>2008</v>
      </c>
      <c r="B7" s="38">
        <v>1.03E-2</v>
      </c>
      <c r="C7" s="38">
        <v>1.0500000000000001E-2</v>
      </c>
      <c r="D7" s="38">
        <v>1.0500000000000001E-2</v>
      </c>
      <c r="E7" s="38">
        <v>1.0500000000000001E-2</v>
      </c>
      <c r="F7" s="38">
        <v>1.0500000000000001E-2</v>
      </c>
      <c r="G7" s="38">
        <v>1.0500000000000001E-2</v>
      </c>
      <c r="H7" t="s">
        <v>84</v>
      </c>
      <c r="I7" s="46">
        <v>0.03</v>
      </c>
    </row>
    <row r="8" spans="1:9" x14ac:dyDescent="0.25">
      <c r="A8" s="5">
        <v>2007</v>
      </c>
      <c r="B8" s="38">
        <v>1.03E-2</v>
      </c>
      <c r="C8" s="38">
        <v>1.0500000000000001E-2</v>
      </c>
      <c r="D8" s="38">
        <v>1.0500000000000001E-2</v>
      </c>
      <c r="E8" s="38">
        <v>1.0500000000000001E-2</v>
      </c>
      <c r="F8" s="38">
        <v>1.03E-2</v>
      </c>
      <c r="G8" s="38">
        <v>1.0500000000000001E-2</v>
      </c>
      <c r="H8" t="s">
        <v>84</v>
      </c>
      <c r="I8" s="46">
        <v>0.03</v>
      </c>
    </row>
    <row r="9" spans="1:9" x14ac:dyDescent="0.25">
      <c r="A9" s="5">
        <v>2006</v>
      </c>
      <c r="B9" s="38">
        <v>1.03E-2</v>
      </c>
      <c r="C9" s="38">
        <v>1.0500000000000001E-2</v>
      </c>
      <c r="D9" s="38">
        <v>1.0500000000000001E-2</v>
      </c>
      <c r="E9" s="38">
        <v>1.0500000000000001E-2</v>
      </c>
      <c r="F9" s="38">
        <v>1.0500000000000001E-2</v>
      </c>
      <c r="G9" s="38">
        <v>1.0500000000000001E-2</v>
      </c>
      <c r="H9" t="s">
        <v>84</v>
      </c>
      <c r="I9" s="46">
        <v>0.03</v>
      </c>
    </row>
    <row r="10" spans="1:9" x14ac:dyDescent="0.25">
      <c r="A10" s="5">
        <v>2005</v>
      </c>
      <c r="B10" s="38">
        <v>1.03E-2</v>
      </c>
      <c r="C10" s="38">
        <v>1.0500000000000001E-2</v>
      </c>
      <c r="D10" s="38">
        <v>1.0500000000000001E-2</v>
      </c>
      <c r="E10" s="38">
        <v>1.0500000000000001E-2</v>
      </c>
      <c r="F10" s="38">
        <v>1.0500000000000001E-2</v>
      </c>
      <c r="G10" s="38">
        <v>1.0500000000000001E-2</v>
      </c>
      <c r="H10" t="s">
        <v>84</v>
      </c>
      <c r="I10" s="46">
        <v>0.03</v>
      </c>
    </row>
    <row r="11" spans="1:9" x14ac:dyDescent="0.25">
      <c r="A11" s="5">
        <v>2004</v>
      </c>
      <c r="B11" s="39">
        <v>1.0500000000000001E-2</v>
      </c>
      <c r="C11" s="39">
        <v>1.0500000000000001E-2</v>
      </c>
      <c r="D11" s="39">
        <v>1.0500000000000001E-2</v>
      </c>
      <c r="E11" s="39">
        <v>1.0500000000000001E-2</v>
      </c>
      <c r="F11" s="39">
        <v>1.0500000000000001E-2</v>
      </c>
      <c r="G11" s="39">
        <v>1.0500000000000001E-2</v>
      </c>
      <c r="H11" t="s">
        <v>84</v>
      </c>
      <c r="I11" s="46">
        <v>0.05</v>
      </c>
    </row>
    <row r="12" spans="1:9" x14ac:dyDescent="0.25">
      <c r="A12" s="5">
        <v>2003</v>
      </c>
      <c r="B12" s="39">
        <v>1.0500000000000001E-2</v>
      </c>
      <c r="C12" s="39">
        <v>1.0500000000000001E-2</v>
      </c>
      <c r="D12" s="39">
        <v>1.0500000000000001E-2</v>
      </c>
      <c r="E12" s="39">
        <v>1.0500000000000001E-2</v>
      </c>
      <c r="F12" s="39">
        <v>1.0500000000000001E-2</v>
      </c>
      <c r="G12" s="39">
        <v>1.0500000000000001E-2</v>
      </c>
      <c r="H12" s="41" t="s">
        <v>81</v>
      </c>
      <c r="I12" s="46">
        <v>0.05</v>
      </c>
    </row>
    <row r="13" spans="1:9" x14ac:dyDescent="0.25">
      <c r="A13" s="5">
        <v>2002</v>
      </c>
      <c r="B13" s="39">
        <v>1.0500000000000001E-2</v>
      </c>
      <c r="C13" s="39">
        <v>1.0500000000000001E-2</v>
      </c>
      <c r="D13" s="39">
        <v>1.0500000000000001E-2</v>
      </c>
      <c r="E13" s="39">
        <v>1.0500000000000001E-2</v>
      </c>
      <c r="F13" s="39">
        <v>1.0500000000000001E-2</v>
      </c>
      <c r="G13" s="39">
        <v>1.0500000000000001E-2</v>
      </c>
      <c r="H13" s="41" t="s">
        <v>82</v>
      </c>
      <c r="I13" s="46">
        <v>0.05</v>
      </c>
    </row>
    <row r="14" spans="1:9" x14ac:dyDescent="0.25">
      <c r="A14" s="5">
        <v>2001</v>
      </c>
      <c r="B14" s="39">
        <v>1.15E-2</v>
      </c>
      <c r="C14" s="39">
        <v>1.15E-2</v>
      </c>
      <c r="D14" s="39">
        <v>1.15E-2</v>
      </c>
      <c r="E14" s="39">
        <v>1.15E-2</v>
      </c>
      <c r="F14" s="39">
        <v>1.15E-2</v>
      </c>
      <c r="G14" s="39">
        <v>1.15E-2</v>
      </c>
      <c r="H14" s="41" t="s">
        <v>82</v>
      </c>
      <c r="I14" s="46">
        <v>0.05</v>
      </c>
    </row>
    <row r="15" spans="1:9" x14ac:dyDescent="0.25">
      <c r="A15" s="5">
        <v>2000</v>
      </c>
      <c r="B15" s="39">
        <v>1.2999999999999999E-2</v>
      </c>
      <c r="C15" s="39">
        <v>1.2999999999999999E-2</v>
      </c>
      <c r="D15" s="39">
        <v>1.2999999999999999E-2</v>
      </c>
      <c r="E15" s="39">
        <v>1.2999999999999999E-2</v>
      </c>
      <c r="F15" s="39">
        <v>1.2999999999999999E-2</v>
      </c>
      <c r="G15" s="39">
        <v>1.2999999999999999E-2</v>
      </c>
      <c r="H15" s="41" t="s">
        <v>83</v>
      </c>
      <c r="I15" s="46">
        <v>0.05</v>
      </c>
    </row>
    <row r="16" spans="1:9" x14ac:dyDescent="0.25">
      <c r="A16" s="5">
        <v>1999</v>
      </c>
      <c r="B16" s="39">
        <v>1.2999999999999999E-2</v>
      </c>
      <c r="C16" s="39">
        <v>1.2999999999999999E-2</v>
      </c>
      <c r="D16" s="39">
        <v>1.2999999999999999E-2</v>
      </c>
      <c r="E16" s="39">
        <v>1.2999999999999999E-2</v>
      </c>
      <c r="F16" s="39">
        <v>1.2999999999999999E-2</v>
      </c>
      <c r="G16" s="39">
        <v>1.2999999999999999E-2</v>
      </c>
      <c r="H16" s="41" t="s">
        <v>83</v>
      </c>
      <c r="I16" s="46">
        <v>0.05</v>
      </c>
    </row>
    <row r="17" spans="1:9" x14ac:dyDescent="0.25">
      <c r="A17" s="5">
        <v>1998</v>
      </c>
      <c r="B17" s="39">
        <v>1.2999999999999999E-2</v>
      </c>
      <c r="C17" s="39">
        <v>1.2999999999999999E-2</v>
      </c>
      <c r="D17" s="39">
        <v>1.2999999999999999E-2</v>
      </c>
      <c r="E17" s="39">
        <v>1.2999999999999999E-2</v>
      </c>
      <c r="F17" s="39">
        <v>1.2999999999999999E-2</v>
      </c>
      <c r="G17" s="39">
        <v>1.2999999999999999E-2</v>
      </c>
      <c r="H17" s="41" t="s">
        <v>83</v>
      </c>
      <c r="I17" s="46">
        <v>0.05</v>
      </c>
    </row>
    <row r="18" spans="1:9" x14ac:dyDescent="0.25">
      <c r="A18" s="5">
        <v>1997</v>
      </c>
      <c r="B18" s="39">
        <v>1.2999999999999999E-2</v>
      </c>
      <c r="C18" s="39">
        <v>1.2999999999999999E-2</v>
      </c>
      <c r="D18" s="39">
        <v>1.2999999999999999E-2</v>
      </c>
      <c r="E18" s="39">
        <v>1.2999999999999999E-2</v>
      </c>
      <c r="F18" s="39">
        <v>1.2999999999999999E-2</v>
      </c>
      <c r="G18" s="39">
        <v>1.2999999999999999E-2</v>
      </c>
      <c r="H18" s="41" t="s">
        <v>83</v>
      </c>
      <c r="I18" s="46">
        <v>0.05</v>
      </c>
    </row>
    <row r="19" spans="1:9" x14ac:dyDescent="0.25">
      <c r="B19" s="42"/>
      <c r="C19" s="42"/>
      <c r="D19" s="42"/>
      <c r="E19" s="42"/>
      <c r="F19" s="42"/>
      <c r="G19" s="42"/>
    </row>
    <row r="20" spans="1:9" x14ac:dyDescent="0.25">
      <c r="A20" s="1"/>
      <c r="B20" s="4" t="s">
        <v>126</v>
      </c>
      <c r="C20" s="43"/>
      <c r="D20" s="43"/>
      <c r="E20" s="43"/>
      <c r="F20" s="43"/>
      <c r="G20" s="43"/>
    </row>
    <row r="21" spans="1:9" x14ac:dyDescent="0.25">
      <c r="B21" s="44"/>
      <c r="C21" s="85"/>
      <c r="D21" s="1" t="s">
        <v>127</v>
      </c>
      <c r="E21" s="44"/>
      <c r="F21" s="44"/>
      <c r="G21" s="44"/>
    </row>
    <row r="22" spans="1:9" x14ac:dyDescent="0.25">
      <c r="B22" s="44"/>
      <c r="C22" s="44"/>
      <c r="D22" s="44"/>
      <c r="E22" s="44"/>
      <c r="F22" s="44"/>
      <c r="G22" s="44"/>
    </row>
    <row r="23" spans="1:9" x14ac:dyDescent="0.25">
      <c r="B23" s="42"/>
      <c r="C23" s="42"/>
      <c r="D23" s="42"/>
      <c r="E23" s="42"/>
      <c r="F23" s="42"/>
      <c r="G23" s="42"/>
    </row>
    <row r="24" spans="1:9" x14ac:dyDescent="0.25">
      <c r="B24" s="44"/>
      <c r="C24" s="44"/>
      <c r="D24" s="44"/>
      <c r="E24" s="44"/>
      <c r="F24" s="44"/>
      <c r="G24" s="44"/>
    </row>
    <row r="26" spans="1:9" x14ac:dyDescent="0.25">
      <c r="B26" s="8"/>
      <c r="C26" s="8"/>
      <c r="D26" s="8"/>
      <c r="E26" s="8"/>
      <c r="F26" s="8"/>
      <c r="G26" s="8"/>
    </row>
  </sheetData>
  <mergeCells count="1">
    <mergeCell ref="B1:G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workbookViewId="0">
      <pane xSplit="1" ySplit="3" topLeftCell="B4" activePane="bottomRight" state="frozen"/>
      <selection pane="topRight" activeCell="B1" sqref="B1"/>
      <selection pane="bottomLeft" activeCell="A4" sqref="A4"/>
      <selection pane="bottomRight" activeCell="O5" sqref="O5"/>
    </sheetView>
  </sheetViews>
  <sheetFormatPr baseColWidth="10" defaultRowHeight="15" x14ac:dyDescent="0.25"/>
  <cols>
    <col min="1" max="1" width="15" style="139" customWidth="1"/>
    <col min="2" max="4" width="23.5703125" style="139" customWidth="1"/>
    <col min="5" max="5" width="15.28515625" style="139" customWidth="1"/>
    <col min="6" max="6" width="24.85546875" style="139" customWidth="1"/>
    <col min="7" max="7" width="21.7109375" style="139" customWidth="1"/>
    <col min="8" max="8" width="20.42578125" style="139" customWidth="1"/>
    <col min="9" max="9" width="20.85546875" style="139" customWidth="1"/>
    <col min="10" max="10" width="22.28515625" style="139" customWidth="1"/>
    <col min="11" max="11" width="20.7109375" style="139" customWidth="1"/>
    <col min="12" max="12" width="20.42578125" style="139" customWidth="1"/>
    <col min="13" max="13" width="26.140625" style="139" customWidth="1"/>
    <col min="14" max="14" width="11.42578125" style="139"/>
    <col min="15" max="15" width="14.42578125" style="139" bestFit="1" customWidth="1"/>
    <col min="16" max="16" width="22" style="139" customWidth="1"/>
    <col min="17" max="17" width="21.5703125" style="139" customWidth="1"/>
    <col min="18" max="256" width="11.42578125" style="139"/>
    <col min="257" max="257" width="15" style="139" customWidth="1"/>
    <col min="258" max="260" width="23.5703125" style="139" customWidth="1"/>
    <col min="261" max="261" width="15.28515625" style="139" customWidth="1"/>
    <col min="262" max="262" width="24.85546875" style="139" customWidth="1"/>
    <col min="263" max="263" width="21.7109375" style="139" customWidth="1"/>
    <col min="264" max="264" width="20.42578125" style="139" customWidth="1"/>
    <col min="265" max="265" width="20.85546875" style="139" customWidth="1"/>
    <col min="266" max="266" width="22.28515625" style="139" customWidth="1"/>
    <col min="267" max="267" width="20.7109375" style="139" customWidth="1"/>
    <col min="268" max="268" width="20.42578125" style="139" customWidth="1"/>
    <col min="269" max="269" width="26.140625" style="139" customWidth="1"/>
    <col min="270" max="270" width="11.42578125" style="139"/>
    <col min="271" max="271" width="14.42578125" style="139" bestFit="1" customWidth="1"/>
    <col min="272" max="272" width="22" style="139" customWidth="1"/>
    <col min="273" max="273" width="21.5703125" style="139" customWidth="1"/>
    <col min="274" max="512" width="11.42578125" style="139"/>
    <col min="513" max="513" width="15" style="139" customWidth="1"/>
    <col min="514" max="516" width="23.5703125" style="139" customWidth="1"/>
    <col min="517" max="517" width="15.28515625" style="139" customWidth="1"/>
    <col min="518" max="518" width="24.85546875" style="139" customWidth="1"/>
    <col min="519" max="519" width="21.7109375" style="139" customWidth="1"/>
    <col min="520" max="520" width="20.42578125" style="139" customWidth="1"/>
    <col min="521" max="521" width="20.85546875" style="139" customWidth="1"/>
    <col min="522" max="522" width="22.28515625" style="139" customWidth="1"/>
    <col min="523" max="523" width="20.7109375" style="139" customWidth="1"/>
    <col min="524" max="524" width="20.42578125" style="139" customWidth="1"/>
    <col min="525" max="525" width="26.140625" style="139" customWidth="1"/>
    <col min="526" max="526" width="11.42578125" style="139"/>
    <col min="527" max="527" width="14.42578125" style="139" bestFit="1" customWidth="1"/>
    <col min="528" max="528" width="22" style="139" customWidth="1"/>
    <col min="529" max="529" width="21.5703125" style="139" customWidth="1"/>
    <col min="530" max="768" width="11.42578125" style="139"/>
    <col min="769" max="769" width="15" style="139" customWidth="1"/>
    <col min="770" max="772" width="23.5703125" style="139" customWidth="1"/>
    <col min="773" max="773" width="15.28515625" style="139" customWidth="1"/>
    <col min="774" max="774" width="24.85546875" style="139" customWidth="1"/>
    <col min="775" max="775" width="21.7109375" style="139" customWidth="1"/>
    <col min="776" max="776" width="20.42578125" style="139" customWidth="1"/>
    <col min="777" max="777" width="20.85546875" style="139" customWidth="1"/>
    <col min="778" max="778" width="22.28515625" style="139" customWidth="1"/>
    <col min="779" max="779" width="20.7109375" style="139" customWidth="1"/>
    <col min="780" max="780" width="20.42578125" style="139" customWidth="1"/>
    <col min="781" max="781" width="26.140625" style="139" customWidth="1"/>
    <col min="782" max="782" width="11.42578125" style="139"/>
    <col min="783" max="783" width="14.42578125" style="139" bestFit="1" customWidth="1"/>
    <col min="784" max="784" width="22" style="139" customWidth="1"/>
    <col min="785" max="785" width="21.5703125" style="139" customWidth="1"/>
    <col min="786" max="1024" width="11.42578125" style="139"/>
    <col min="1025" max="1025" width="15" style="139" customWidth="1"/>
    <col min="1026" max="1028" width="23.5703125" style="139" customWidth="1"/>
    <col min="1029" max="1029" width="15.28515625" style="139" customWidth="1"/>
    <col min="1030" max="1030" width="24.85546875" style="139" customWidth="1"/>
    <col min="1031" max="1031" width="21.7109375" style="139" customWidth="1"/>
    <col min="1032" max="1032" width="20.42578125" style="139" customWidth="1"/>
    <col min="1033" max="1033" width="20.85546875" style="139" customWidth="1"/>
    <col min="1034" max="1034" width="22.28515625" style="139" customWidth="1"/>
    <col min="1035" max="1035" width="20.7109375" style="139" customWidth="1"/>
    <col min="1036" max="1036" width="20.42578125" style="139" customWidth="1"/>
    <col min="1037" max="1037" width="26.140625" style="139" customWidth="1"/>
    <col min="1038" max="1038" width="11.42578125" style="139"/>
    <col min="1039" max="1039" width="14.42578125" style="139" bestFit="1" customWidth="1"/>
    <col min="1040" max="1040" width="22" style="139" customWidth="1"/>
    <col min="1041" max="1041" width="21.5703125" style="139" customWidth="1"/>
    <col min="1042" max="1280" width="11.42578125" style="139"/>
    <col min="1281" max="1281" width="15" style="139" customWidth="1"/>
    <col min="1282" max="1284" width="23.5703125" style="139" customWidth="1"/>
    <col min="1285" max="1285" width="15.28515625" style="139" customWidth="1"/>
    <col min="1286" max="1286" width="24.85546875" style="139" customWidth="1"/>
    <col min="1287" max="1287" width="21.7109375" style="139" customWidth="1"/>
    <col min="1288" max="1288" width="20.42578125" style="139" customWidth="1"/>
    <col min="1289" max="1289" width="20.85546875" style="139" customWidth="1"/>
    <col min="1290" max="1290" width="22.28515625" style="139" customWidth="1"/>
    <col min="1291" max="1291" width="20.7109375" style="139" customWidth="1"/>
    <col min="1292" max="1292" width="20.42578125" style="139" customWidth="1"/>
    <col min="1293" max="1293" width="26.140625" style="139" customWidth="1"/>
    <col min="1294" max="1294" width="11.42578125" style="139"/>
    <col min="1295" max="1295" width="14.42578125" style="139" bestFit="1" customWidth="1"/>
    <col min="1296" max="1296" width="22" style="139" customWidth="1"/>
    <col min="1297" max="1297" width="21.5703125" style="139" customWidth="1"/>
    <col min="1298" max="1536" width="11.42578125" style="139"/>
    <col min="1537" max="1537" width="15" style="139" customWidth="1"/>
    <col min="1538" max="1540" width="23.5703125" style="139" customWidth="1"/>
    <col min="1541" max="1541" width="15.28515625" style="139" customWidth="1"/>
    <col min="1542" max="1542" width="24.85546875" style="139" customWidth="1"/>
    <col min="1543" max="1543" width="21.7109375" style="139" customWidth="1"/>
    <col min="1544" max="1544" width="20.42578125" style="139" customWidth="1"/>
    <col min="1545" max="1545" width="20.85546875" style="139" customWidth="1"/>
    <col min="1546" max="1546" width="22.28515625" style="139" customWidth="1"/>
    <col min="1547" max="1547" width="20.7109375" style="139" customWidth="1"/>
    <col min="1548" max="1548" width="20.42578125" style="139" customWidth="1"/>
    <col min="1549" max="1549" width="26.140625" style="139" customWidth="1"/>
    <col min="1550" max="1550" width="11.42578125" style="139"/>
    <col min="1551" max="1551" width="14.42578125" style="139" bestFit="1" customWidth="1"/>
    <col min="1552" max="1552" width="22" style="139" customWidth="1"/>
    <col min="1553" max="1553" width="21.5703125" style="139" customWidth="1"/>
    <col min="1554" max="1792" width="11.42578125" style="139"/>
    <col min="1793" max="1793" width="15" style="139" customWidth="1"/>
    <col min="1794" max="1796" width="23.5703125" style="139" customWidth="1"/>
    <col min="1797" max="1797" width="15.28515625" style="139" customWidth="1"/>
    <col min="1798" max="1798" width="24.85546875" style="139" customWidth="1"/>
    <col min="1799" max="1799" width="21.7109375" style="139" customWidth="1"/>
    <col min="1800" max="1800" width="20.42578125" style="139" customWidth="1"/>
    <col min="1801" max="1801" width="20.85546875" style="139" customWidth="1"/>
    <col min="1802" max="1802" width="22.28515625" style="139" customWidth="1"/>
    <col min="1803" max="1803" width="20.7109375" style="139" customWidth="1"/>
    <col min="1804" max="1804" width="20.42578125" style="139" customWidth="1"/>
    <col min="1805" max="1805" width="26.140625" style="139" customWidth="1"/>
    <col min="1806" max="1806" width="11.42578125" style="139"/>
    <col min="1807" max="1807" width="14.42578125" style="139" bestFit="1" customWidth="1"/>
    <col min="1808" max="1808" width="22" style="139" customWidth="1"/>
    <col min="1809" max="1809" width="21.5703125" style="139" customWidth="1"/>
    <col min="1810" max="2048" width="11.42578125" style="139"/>
    <col min="2049" max="2049" width="15" style="139" customWidth="1"/>
    <col min="2050" max="2052" width="23.5703125" style="139" customWidth="1"/>
    <col min="2053" max="2053" width="15.28515625" style="139" customWidth="1"/>
    <col min="2054" max="2054" width="24.85546875" style="139" customWidth="1"/>
    <col min="2055" max="2055" width="21.7109375" style="139" customWidth="1"/>
    <col min="2056" max="2056" width="20.42578125" style="139" customWidth="1"/>
    <col min="2057" max="2057" width="20.85546875" style="139" customWidth="1"/>
    <col min="2058" max="2058" width="22.28515625" style="139" customWidth="1"/>
    <col min="2059" max="2059" width="20.7109375" style="139" customWidth="1"/>
    <col min="2060" max="2060" width="20.42578125" style="139" customWidth="1"/>
    <col min="2061" max="2061" width="26.140625" style="139" customWidth="1"/>
    <col min="2062" max="2062" width="11.42578125" style="139"/>
    <col min="2063" max="2063" width="14.42578125" style="139" bestFit="1" customWidth="1"/>
    <col min="2064" max="2064" width="22" style="139" customWidth="1"/>
    <col min="2065" max="2065" width="21.5703125" style="139" customWidth="1"/>
    <col min="2066" max="2304" width="11.42578125" style="139"/>
    <col min="2305" max="2305" width="15" style="139" customWidth="1"/>
    <col min="2306" max="2308" width="23.5703125" style="139" customWidth="1"/>
    <col min="2309" max="2309" width="15.28515625" style="139" customWidth="1"/>
    <col min="2310" max="2310" width="24.85546875" style="139" customWidth="1"/>
    <col min="2311" max="2311" width="21.7109375" style="139" customWidth="1"/>
    <col min="2312" max="2312" width="20.42578125" style="139" customWidth="1"/>
    <col min="2313" max="2313" width="20.85546875" style="139" customWidth="1"/>
    <col min="2314" max="2314" width="22.28515625" style="139" customWidth="1"/>
    <col min="2315" max="2315" width="20.7109375" style="139" customWidth="1"/>
    <col min="2316" max="2316" width="20.42578125" style="139" customWidth="1"/>
    <col min="2317" max="2317" width="26.140625" style="139" customWidth="1"/>
    <col min="2318" max="2318" width="11.42578125" style="139"/>
    <col min="2319" max="2319" width="14.42578125" style="139" bestFit="1" customWidth="1"/>
    <col min="2320" max="2320" width="22" style="139" customWidth="1"/>
    <col min="2321" max="2321" width="21.5703125" style="139" customWidth="1"/>
    <col min="2322" max="2560" width="11.42578125" style="139"/>
    <col min="2561" max="2561" width="15" style="139" customWidth="1"/>
    <col min="2562" max="2564" width="23.5703125" style="139" customWidth="1"/>
    <col min="2565" max="2565" width="15.28515625" style="139" customWidth="1"/>
    <col min="2566" max="2566" width="24.85546875" style="139" customWidth="1"/>
    <col min="2567" max="2567" width="21.7109375" style="139" customWidth="1"/>
    <col min="2568" max="2568" width="20.42578125" style="139" customWidth="1"/>
    <col min="2569" max="2569" width="20.85546875" style="139" customWidth="1"/>
    <col min="2570" max="2570" width="22.28515625" style="139" customWidth="1"/>
    <col min="2571" max="2571" width="20.7109375" style="139" customWidth="1"/>
    <col min="2572" max="2572" width="20.42578125" style="139" customWidth="1"/>
    <col min="2573" max="2573" width="26.140625" style="139" customWidth="1"/>
    <col min="2574" max="2574" width="11.42578125" style="139"/>
    <col min="2575" max="2575" width="14.42578125" style="139" bestFit="1" customWidth="1"/>
    <col min="2576" max="2576" width="22" style="139" customWidth="1"/>
    <col min="2577" max="2577" width="21.5703125" style="139" customWidth="1"/>
    <col min="2578" max="2816" width="11.42578125" style="139"/>
    <col min="2817" max="2817" width="15" style="139" customWidth="1"/>
    <col min="2818" max="2820" width="23.5703125" style="139" customWidth="1"/>
    <col min="2821" max="2821" width="15.28515625" style="139" customWidth="1"/>
    <col min="2822" max="2822" width="24.85546875" style="139" customWidth="1"/>
    <col min="2823" max="2823" width="21.7109375" style="139" customWidth="1"/>
    <col min="2824" max="2824" width="20.42578125" style="139" customWidth="1"/>
    <col min="2825" max="2825" width="20.85546875" style="139" customWidth="1"/>
    <col min="2826" max="2826" width="22.28515625" style="139" customWidth="1"/>
    <col min="2827" max="2827" width="20.7109375" style="139" customWidth="1"/>
    <col min="2828" max="2828" width="20.42578125" style="139" customWidth="1"/>
    <col min="2829" max="2829" width="26.140625" style="139" customWidth="1"/>
    <col min="2830" max="2830" width="11.42578125" style="139"/>
    <col min="2831" max="2831" width="14.42578125" style="139" bestFit="1" customWidth="1"/>
    <col min="2832" max="2832" width="22" style="139" customWidth="1"/>
    <col min="2833" max="2833" width="21.5703125" style="139" customWidth="1"/>
    <col min="2834" max="3072" width="11.42578125" style="139"/>
    <col min="3073" max="3073" width="15" style="139" customWidth="1"/>
    <col min="3074" max="3076" width="23.5703125" style="139" customWidth="1"/>
    <col min="3077" max="3077" width="15.28515625" style="139" customWidth="1"/>
    <col min="3078" max="3078" width="24.85546875" style="139" customWidth="1"/>
    <col min="3079" max="3079" width="21.7109375" style="139" customWidth="1"/>
    <col min="3080" max="3080" width="20.42578125" style="139" customWidth="1"/>
    <col min="3081" max="3081" width="20.85546875" style="139" customWidth="1"/>
    <col min="3082" max="3082" width="22.28515625" style="139" customWidth="1"/>
    <col min="3083" max="3083" width="20.7109375" style="139" customWidth="1"/>
    <col min="3084" max="3084" width="20.42578125" style="139" customWidth="1"/>
    <col min="3085" max="3085" width="26.140625" style="139" customWidth="1"/>
    <col min="3086" max="3086" width="11.42578125" style="139"/>
    <col min="3087" max="3087" width="14.42578125" style="139" bestFit="1" customWidth="1"/>
    <col min="3088" max="3088" width="22" style="139" customWidth="1"/>
    <col min="3089" max="3089" width="21.5703125" style="139" customWidth="1"/>
    <col min="3090" max="3328" width="11.42578125" style="139"/>
    <col min="3329" max="3329" width="15" style="139" customWidth="1"/>
    <col min="3330" max="3332" width="23.5703125" style="139" customWidth="1"/>
    <col min="3333" max="3333" width="15.28515625" style="139" customWidth="1"/>
    <col min="3334" max="3334" width="24.85546875" style="139" customWidth="1"/>
    <col min="3335" max="3335" width="21.7109375" style="139" customWidth="1"/>
    <col min="3336" max="3336" width="20.42578125" style="139" customWidth="1"/>
    <col min="3337" max="3337" width="20.85546875" style="139" customWidth="1"/>
    <col min="3338" max="3338" width="22.28515625" style="139" customWidth="1"/>
    <col min="3339" max="3339" width="20.7109375" style="139" customWidth="1"/>
    <col min="3340" max="3340" width="20.42578125" style="139" customWidth="1"/>
    <col min="3341" max="3341" width="26.140625" style="139" customWidth="1"/>
    <col min="3342" max="3342" width="11.42578125" style="139"/>
    <col min="3343" max="3343" width="14.42578125" style="139" bestFit="1" customWidth="1"/>
    <col min="3344" max="3344" width="22" style="139" customWidth="1"/>
    <col min="3345" max="3345" width="21.5703125" style="139" customWidth="1"/>
    <col min="3346" max="3584" width="11.42578125" style="139"/>
    <col min="3585" max="3585" width="15" style="139" customWidth="1"/>
    <col min="3586" max="3588" width="23.5703125" style="139" customWidth="1"/>
    <col min="3589" max="3589" width="15.28515625" style="139" customWidth="1"/>
    <col min="3590" max="3590" width="24.85546875" style="139" customWidth="1"/>
    <col min="3591" max="3591" width="21.7109375" style="139" customWidth="1"/>
    <col min="3592" max="3592" width="20.42578125" style="139" customWidth="1"/>
    <col min="3593" max="3593" width="20.85546875" style="139" customWidth="1"/>
    <col min="3594" max="3594" width="22.28515625" style="139" customWidth="1"/>
    <col min="3595" max="3595" width="20.7109375" style="139" customWidth="1"/>
    <col min="3596" max="3596" width="20.42578125" style="139" customWidth="1"/>
    <col min="3597" max="3597" width="26.140625" style="139" customWidth="1"/>
    <col min="3598" max="3598" width="11.42578125" style="139"/>
    <col min="3599" max="3599" width="14.42578125" style="139" bestFit="1" customWidth="1"/>
    <col min="3600" max="3600" width="22" style="139" customWidth="1"/>
    <col min="3601" max="3601" width="21.5703125" style="139" customWidth="1"/>
    <col min="3602" max="3840" width="11.42578125" style="139"/>
    <col min="3841" max="3841" width="15" style="139" customWidth="1"/>
    <col min="3842" max="3844" width="23.5703125" style="139" customWidth="1"/>
    <col min="3845" max="3845" width="15.28515625" style="139" customWidth="1"/>
    <col min="3846" max="3846" width="24.85546875" style="139" customWidth="1"/>
    <col min="3847" max="3847" width="21.7109375" style="139" customWidth="1"/>
    <col min="3848" max="3848" width="20.42578125" style="139" customWidth="1"/>
    <col min="3849" max="3849" width="20.85546875" style="139" customWidth="1"/>
    <col min="3850" max="3850" width="22.28515625" style="139" customWidth="1"/>
    <col min="3851" max="3851" width="20.7109375" style="139" customWidth="1"/>
    <col min="3852" max="3852" width="20.42578125" style="139" customWidth="1"/>
    <col min="3853" max="3853" width="26.140625" style="139" customWidth="1"/>
    <col min="3854" max="3854" width="11.42578125" style="139"/>
    <col min="3855" max="3855" width="14.42578125" style="139" bestFit="1" customWidth="1"/>
    <col min="3856" max="3856" width="22" style="139" customWidth="1"/>
    <col min="3857" max="3857" width="21.5703125" style="139" customWidth="1"/>
    <col min="3858" max="4096" width="11.42578125" style="139"/>
    <col min="4097" max="4097" width="15" style="139" customWidth="1"/>
    <col min="4098" max="4100" width="23.5703125" style="139" customWidth="1"/>
    <col min="4101" max="4101" width="15.28515625" style="139" customWidth="1"/>
    <col min="4102" max="4102" width="24.85546875" style="139" customWidth="1"/>
    <col min="4103" max="4103" width="21.7109375" style="139" customWidth="1"/>
    <col min="4104" max="4104" width="20.42578125" style="139" customWidth="1"/>
    <col min="4105" max="4105" width="20.85546875" style="139" customWidth="1"/>
    <col min="4106" max="4106" width="22.28515625" style="139" customWidth="1"/>
    <col min="4107" max="4107" width="20.7109375" style="139" customWidth="1"/>
    <col min="4108" max="4108" width="20.42578125" style="139" customWidth="1"/>
    <col min="4109" max="4109" width="26.140625" style="139" customWidth="1"/>
    <col min="4110" max="4110" width="11.42578125" style="139"/>
    <col min="4111" max="4111" width="14.42578125" style="139" bestFit="1" customWidth="1"/>
    <col min="4112" max="4112" width="22" style="139" customWidth="1"/>
    <col min="4113" max="4113" width="21.5703125" style="139" customWidth="1"/>
    <col min="4114" max="4352" width="11.42578125" style="139"/>
    <col min="4353" max="4353" width="15" style="139" customWidth="1"/>
    <col min="4354" max="4356" width="23.5703125" style="139" customWidth="1"/>
    <col min="4357" max="4357" width="15.28515625" style="139" customWidth="1"/>
    <col min="4358" max="4358" width="24.85546875" style="139" customWidth="1"/>
    <col min="4359" max="4359" width="21.7109375" style="139" customWidth="1"/>
    <col min="4360" max="4360" width="20.42578125" style="139" customWidth="1"/>
    <col min="4361" max="4361" width="20.85546875" style="139" customWidth="1"/>
    <col min="4362" max="4362" width="22.28515625" style="139" customWidth="1"/>
    <col min="4363" max="4363" width="20.7109375" style="139" customWidth="1"/>
    <col min="4364" max="4364" width="20.42578125" style="139" customWidth="1"/>
    <col min="4365" max="4365" width="26.140625" style="139" customWidth="1"/>
    <col min="4366" max="4366" width="11.42578125" style="139"/>
    <col min="4367" max="4367" width="14.42578125" style="139" bestFit="1" customWidth="1"/>
    <col min="4368" max="4368" width="22" style="139" customWidth="1"/>
    <col min="4369" max="4369" width="21.5703125" style="139" customWidth="1"/>
    <col min="4370" max="4608" width="11.42578125" style="139"/>
    <col min="4609" max="4609" width="15" style="139" customWidth="1"/>
    <col min="4610" max="4612" width="23.5703125" style="139" customWidth="1"/>
    <col min="4613" max="4613" width="15.28515625" style="139" customWidth="1"/>
    <col min="4614" max="4614" width="24.85546875" style="139" customWidth="1"/>
    <col min="4615" max="4615" width="21.7109375" style="139" customWidth="1"/>
    <col min="4616" max="4616" width="20.42578125" style="139" customWidth="1"/>
    <col min="4617" max="4617" width="20.85546875" style="139" customWidth="1"/>
    <col min="4618" max="4618" width="22.28515625" style="139" customWidth="1"/>
    <col min="4619" max="4619" width="20.7109375" style="139" customWidth="1"/>
    <col min="4620" max="4620" width="20.42578125" style="139" customWidth="1"/>
    <col min="4621" max="4621" width="26.140625" style="139" customWidth="1"/>
    <col min="4622" max="4622" width="11.42578125" style="139"/>
    <col min="4623" max="4623" width="14.42578125" style="139" bestFit="1" customWidth="1"/>
    <col min="4624" max="4624" width="22" style="139" customWidth="1"/>
    <col min="4625" max="4625" width="21.5703125" style="139" customWidth="1"/>
    <col min="4626" max="4864" width="11.42578125" style="139"/>
    <col min="4865" max="4865" width="15" style="139" customWidth="1"/>
    <col min="4866" max="4868" width="23.5703125" style="139" customWidth="1"/>
    <col min="4869" max="4869" width="15.28515625" style="139" customWidth="1"/>
    <col min="4870" max="4870" width="24.85546875" style="139" customWidth="1"/>
    <col min="4871" max="4871" width="21.7109375" style="139" customWidth="1"/>
    <col min="4872" max="4872" width="20.42578125" style="139" customWidth="1"/>
    <col min="4873" max="4873" width="20.85546875" style="139" customWidth="1"/>
    <col min="4874" max="4874" width="22.28515625" style="139" customWidth="1"/>
    <col min="4875" max="4875" width="20.7109375" style="139" customWidth="1"/>
    <col min="4876" max="4876" width="20.42578125" style="139" customWidth="1"/>
    <col min="4877" max="4877" width="26.140625" style="139" customWidth="1"/>
    <col min="4878" max="4878" width="11.42578125" style="139"/>
    <col min="4879" max="4879" width="14.42578125" style="139" bestFit="1" customWidth="1"/>
    <col min="4880" max="4880" width="22" style="139" customWidth="1"/>
    <col min="4881" max="4881" width="21.5703125" style="139" customWidth="1"/>
    <col min="4882" max="5120" width="11.42578125" style="139"/>
    <col min="5121" max="5121" width="15" style="139" customWidth="1"/>
    <col min="5122" max="5124" width="23.5703125" style="139" customWidth="1"/>
    <col min="5125" max="5125" width="15.28515625" style="139" customWidth="1"/>
    <col min="5126" max="5126" width="24.85546875" style="139" customWidth="1"/>
    <col min="5127" max="5127" width="21.7109375" style="139" customWidth="1"/>
    <col min="5128" max="5128" width="20.42578125" style="139" customWidth="1"/>
    <col min="5129" max="5129" width="20.85546875" style="139" customWidth="1"/>
    <col min="5130" max="5130" width="22.28515625" style="139" customWidth="1"/>
    <col min="5131" max="5131" width="20.7109375" style="139" customWidth="1"/>
    <col min="5132" max="5132" width="20.42578125" style="139" customWidth="1"/>
    <col min="5133" max="5133" width="26.140625" style="139" customWidth="1"/>
    <col min="5134" max="5134" width="11.42578125" style="139"/>
    <col min="5135" max="5135" width="14.42578125" style="139" bestFit="1" customWidth="1"/>
    <col min="5136" max="5136" width="22" style="139" customWidth="1"/>
    <col min="5137" max="5137" width="21.5703125" style="139" customWidth="1"/>
    <col min="5138" max="5376" width="11.42578125" style="139"/>
    <col min="5377" max="5377" width="15" style="139" customWidth="1"/>
    <col min="5378" max="5380" width="23.5703125" style="139" customWidth="1"/>
    <col min="5381" max="5381" width="15.28515625" style="139" customWidth="1"/>
    <col min="5382" max="5382" width="24.85546875" style="139" customWidth="1"/>
    <col min="5383" max="5383" width="21.7109375" style="139" customWidth="1"/>
    <col min="5384" max="5384" width="20.42578125" style="139" customWidth="1"/>
    <col min="5385" max="5385" width="20.85546875" style="139" customWidth="1"/>
    <col min="5386" max="5386" width="22.28515625" style="139" customWidth="1"/>
    <col min="5387" max="5387" width="20.7109375" style="139" customWidth="1"/>
    <col min="5388" max="5388" width="20.42578125" style="139" customWidth="1"/>
    <col min="5389" max="5389" width="26.140625" style="139" customWidth="1"/>
    <col min="5390" max="5390" width="11.42578125" style="139"/>
    <col min="5391" max="5391" width="14.42578125" style="139" bestFit="1" customWidth="1"/>
    <col min="5392" max="5392" width="22" style="139" customWidth="1"/>
    <col min="5393" max="5393" width="21.5703125" style="139" customWidth="1"/>
    <col min="5394" max="5632" width="11.42578125" style="139"/>
    <col min="5633" max="5633" width="15" style="139" customWidth="1"/>
    <col min="5634" max="5636" width="23.5703125" style="139" customWidth="1"/>
    <col min="5637" max="5637" width="15.28515625" style="139" customWidth="1"/>
    <col min="5638" max="5638" width="24.85546875" style="139" customWidth="1"/>
    <col min="5639" max="5639" width="21.7109375" style="139" customWidth="1"/>
    <col min="5640" max="5640" width="20.42578125" style="139" customWidth="1"/>
    <col min="5641" max="5641" width="20.85546875" style="139" customWidth="1"/>
    <col min="5642" max="5642" width="22.28515625" style="139" customWidth="1"/>
    <col min="5643" max="5643" width="20.7109375" style="139" customWidth="1"/>
    <col min="5644" max="5644" width="20.42578125" style="139" customWidth="1"/>
    <col min="5645" max="5645" width="26.140625" style="139" customWidth="1"/>
    <col min="5646" max="5646" width="11.42578125" style="139"/>
    <col min="5647" max="5647" width="14.42578125" style="139" bestFit="1" customWidth="1"/>
    <col min="5648" max="5648" width="22" style="139" customWidth="1"/>
    <col min="5649" max="5649" width="21.5703125" style="139" customWidth="1"/>
    <col min="5650" max="5888" width="11.42578125" style="139"/>
    <col min="5889" max="5889" width="15" style="139" customWidth="1"/>
    <col min="5890" max="5892" width="23.5703125" style="139" customWidth="1"/>
    <col min="5893" max="5893" width="15.28515625" style="139" customWidth="1"/>
    <col min="5894" max="5894" width="24.85546875" style="139" customWidth="1"/>
    <col min="5895" max="5895" width="21.7109375" style="139" customWidth="1"/>
    <col min="5896" max="5896" width="20.42578125" style="139" customWidth="1"/>
    <col min="5897" max="5897" width="20.85546875" style="139" customWidth="1"/>
    <col min="5898" max="5898" width="22.28515625" style="139" customWidth="1"/>
    <col min="5899" max="5899" width="20.7109375" style="139" customWidth="1"/>
    <col min="5900" max="5900" width="20.42578125" style="139" customWidth="1"/>
    <col min="5901" max="5901" width="26.140625" style="139" customWidth="1"/>
    <col min="5902" max="5902" width="11.42578125" style="139"/>
    <col min="5903" max="5903" width="14.42578125" style="139" bestFit="1" customWidth="1"/>
    <col min="5904" max="5904" width="22" style="139" customWidth="1"/>
    <col min="5905" max="5905" width="21.5703125" style="139" customWidth="1"/>
    <col min="5906" max="6144" width="11.42578125" style="139"/>
    <col min="6145" max="6145" width="15" style="139" customWidth="1"/>
    <col min="6146" max="6148" width="23.5703125" style="139" customWidth="1"/>
    <col min="6149" max="6149" width="15.28515625" style="139" customWidth="1"/>
    <col min="6150" max="6150" width="24.85546875" style="139" customWidth="1"/>
    <col min="6151" max="6151" width="21.7109375" style="139" customWidth="1"/>
    <col min="6152" max="6152" width="20.42578125" style="139" customWidth="1"/>
    <col min="6153" max="6153" width="20.85546875" style="139" customWidth="1"/>
    <col min="6154" max="6154" width="22.28515625" style="139" customWidth="1"/>
    <col min="6155" max="6155" width="20.7109375" style="139" customWidth="1"/>
    <col min="6156" max="6156" width="20.42578125" style="139" customWidth="1"/>
    <col min="6157" max="6157" width="26.140625" style="139" customWidth="1"/>
    <col min="6158" max="6158" width="11.42578125" style="139"/>
    <col min="6159" max="6159" width="14.42578125" style="139" bestFit="1" customWidth="1"/>
    <col min="6160" max="6160" width="22" style="139" customWidth="1"/>
    <col min="6161" max="6161" width="21.5703125" style="139" customWidth="1"/>
    <col min="6162" max="6400" width="11.42578125" style="139"/>
    <col min="6401" max="6401" width="15" style="139" customWidth="1"/>
    <col min="6402" max="6404" width="23.5703125" style="139" customWidth="1"/>
    <col min="6405" max="6405" width="15.28515625" style="139" customWidth="1"/>
    <col min="6406" max="6406" width="24.85546875" style="139" customWidth="1"/>
    <col min="6407" max="6407" width="21.7109375" style="139" customWidth="1"/>
    <col min="6408" max="6408" width="20.42578125" style="139" customWidth="1"/>
    <col min="6409" max="6409" width="20.85546875" style="139" customWidth="1"/>
    <col min="6410" max="6410" width="22.28515625" style="139" customWidth="1"/>
    <col min="6411" max="6411" width="20.7109375" style="139" customWidth="1"/>
    <col min="6412" max="6412" width="20.42578125" style="139" customWidth="1"/>
    <col min="6413" max="6413" width="26.140625" style="139" customWidth="1"/>
    <col min="6414" max="6414" width="11.42578125" style="139"/>
    <col min="6415" max="6415" width="14.42578125" style="139" bestFit="1" customWidth="1"/>
    <col min="6416" max="6416" width="22" style="139" customWidth="1"/>
    <col min="6417" max="6417" width="21.5703125" style="139" customWidth="1"/>
    <col min="6418" max="6656" width="11.42578125" style="139"/>
    <col min="6657" max="6657" width="15" style="139" customWidth="1"/>
    <col min="6658" max="6660" width="23.5703125" style="139" customWidth="1"/>
    <col min="6661" max="6661" width="15.28515625" style="139" customWidth="1"/>
    <col min="6662" max="6662" width="24.85546875" style="139" customWidth="1"/>
    <col min="6663" max="6663" width="21.7109375" style="139" customWidth="1"/>
    <col min="6664" max="6664" width="20.42578125" style="139" customWidth="1"/>
    <col min="6665" max="6665" width="20.85546875" style="139" customWidth="1"/>
    <col min="6666" max="6666" width="22.28515625" style="139" customWidth="1"/>
    <col min="6667" max="6667" width="20.7109375" style="139" customWidth="1"/>
    <col min="6668" max="6668" width="20.42578125" style="139" customWidth="1"/>
    <col min="6669" max="6669" width="26.140625" style="139" customWidth="1"/>
    <col min="6670" max="6670" width="11.42578125" style="139"/>
    <col min="6671" max="6671" width="14.42578125" style="139" bestFit="1" customWidth="1"/>
    <col min="6672" max="6672" width="22" style="139" customWidth="1"/>
    <col min="6673" max="6673" width="21.5703125" style="139" customWidth="1"/>
    <col min="6674" max="6912" width="11.42578125" style="139"/>
    <col min="6913" max="6913" width="15" style="139" customWidth="1"/>
    <col min="6914" max="6916" width="23.5703125" style="139" customWidth="1"/>
    <col min="6917" max="6917" width="15.28515625" style="139" customWidth="1"/>
    <col min="6918" max="6918" width="24.85546875" style="139" customWidth="1"/>
    <col min="6919" max="6919" width="21.7109375" style="139" customWidth="1"/>
    <col min="6920" max="6920" width="20.42578125" style="139" customWidth="1"/>
    <col min="6921" max="6921" width="20.85546875" style="139" customWidth="1"/>
    <col min="6922" max="6922" width="22.28515625" style="139" customWidth="1"/>
    <col min="6923" max="6923" width="20.7109375" style="139" customWidth="1"/>
    <col min="6924" max="6924" width="20.42578125" style="139" customWidth="1"/>
    <col min="6925" max="6925" width="26.140625" style="139" customWidth="1"/>
    <col min="6926" max="6926" width="11.42578125" style="139"/>
    <col min="6927" max="6927" width="14.42578125" style="139" bestFit="1" customWidth="1"/>
    <col min="6928" max="6928" width="22" style="139" customWidth="1"/>
    <col min="6929" max="6929" width="21.5703125" style="139" customWidth="1"/>
    <col min="6930" max="7168" width="11.42578125" style="139"/>
    <col min="7169" max="7169" width="15" style="139" customWidth="1"/>
    <col min="7170" max="7172" width="23.5703125" style="139" customWidth="1"/>
    <col min="7173" max="7173" width="15.28515625" style="139" customWidth="1"/>
    <col min="7174" max="7174" width="24.85546875" style="139" customWidth="1"/>
    <col min="7175" max="7175" width="21.7109375" style="139" customWidth="1"/>
    <col min="7176" max="7176" width="20.42578125" style="139" customWidth="1"/>
    <col min="7177" max="7177" width="20.85546875" style="139" customWidth="1"/>
    <col min="7178" max="7178" width="22.28515625" style="139" customWidth="1"/>
    <col min="7179" max="7179" width="20.7109375" style="139" customWidth="1"/>
    <col min="7180" max="7180" width="20.42578125" style="139" customWidth="1"/>
    <col min="7181" max="7181" width="26.140625" style="139" customWidth="1"/>
    <col min="7182" max="7182" width="11.42578125" style="139"/>
    <col min="7183" max="7183" width="14.42578125" style="139" bestFit="1" customWidth="1"/>
    <col min="7184" max="7184" width="22" style="139" customWidth="1"/>
    <col min="7185" max="7185" width="21.5703125" style="139" customWidth="1"/>
    <col min="7186" max="7424" width="11.42578125" style="139"/>
    <col min="7425" max="7425" width="15" style="139" customWidth="1"/>
    <col min="7426" max="7428" width="23.5703125" style="139" customWidth="1"/>
    <col min="7429" max="7429" width="15.28515625" style="139" customWidth="1"/>
    <col min="7430" max="7430" width="24.85546875" style="139" customWidth="1"/>
    <col min="7431" max="7431" width="21.7109375" style="139" customWidth="1"/>
    <col min="7432" max="7432" width="20.42578125" style="139" customWidth="1"/>
    <col min="7433" max="7433" width="20.85546875" style="139" customWidth="1"/>
    <col min="7434" max="7434" width="22.28515625" style="139" customWidth="1"/>
    <col min="7435" max="7435" width="20.7109375" style="139" customWidth="1"/>
    <col min="7436" max="7436" width="20.42578125" style="139" customWidth="1"/>
    <col min="7437" max="7437" width="26.140625" style="139" customWidth="1"/>
    <col min="7438" max="7438" width="11.42578125" style="139"/>
    <col min="7439" max="7439" width="14.42578125" style="139" bestFit="1" customWidth="1"/>
    <col min="7440" max="7440" width="22" style="139" customWidth="1"/>
    <col min="7441" max="7441" width="21.5703125" style="139" customWidth="1"/>
    <col min="7442" max="7680" width="11.42578125" style="139"/>
    <col min="7681" max="7681" width="15" style="139" customWidth="1"/>
    <col min="7682" max="7684" width="23.5703125" style="139" customWidth="1"/>
    <col min="7685" max="7685" width="15.28515625" style="139" customWidth="1"/>
    <col min="7686" max="7686" width="24.85546875" style="139" customWidth="1"/>
    <col min="7687" max="7687" width="21.7109375" style="139" customWidth="1"/>
    <col min="7688" max="7688" width="20.42578125" style="139" customWidth="1"/>
    <col min="7689" max="7689" width="20.85546875" style="139" customWidth="1"/>
    <col min="7690" max="7690" width="22.28515625" style="139" customWidth="1"/>
    <col min="7691" max="7691" width="20.7109375" style="139" customWidth="1"/>
    <col min="7692" max="7692" width="20.42578125" style="139" customWidth="1"/>
    <col min="7693" max="7693" width="26.140625" style="139" customWidth="1"/>
    <col min="7694" max="7694" width="11.42578125" style="139"/>
    <col min="7695" max="7695" width="14.42578125" style="139" bestFit="1" customWidth="1"/>
    <col min="7696" max="7696" width="22" style="139" customWidth="1"/>
    <col min="7697" max="7697" width="21.5703125" style="139" customWidth="1"/>
    <col min="7698" max="7936" width="11.42578125" style="139"/>
    <col min="7937" max="7937" width="15" style="139" customWidth="1"/>
    <col min="7938" max="7940" width="23.5703125" style="139" customWidth="1"/>
    <col min="7941" max="7941" width="15.28515625" style="139" customWidth="1"/>
    <col min="7942" max="7942" width="24.85546875" style="139" customWidth="1"/>
    <col min="7943" max="7943" width="21.7109375" style="139" customWidth="1"/>
    <col min="7944" max="7944" width="20.42578125" style="139" customWidth="1"/>
    <col min="7945" max="7945" width="20.85546875" style="139" customWidth="1"/>
    <col min="7946" max="7946" width="22.28515625" style="139" customWidth="1"/>
    <col min="7947" max="7947" width="20.7109375" style="139" customWidth="1"/>
    <col min="7948" max="7948" width="20.42578125" style="139" customWidth="1"/>
    <col min="7949" max="7949" width="26.140625" style="139" customWidth="1"/>
    <col min="7950" max="7950" width="11.42578125" style="139"/>
    <col min="7951" max="7951" width="14.42578125" style="139" bestFit="1" customWidth="1"/>
    <col min="7952" max="7952" width="22" style="139" customWidth="1"/>
    <col min="7953" max="7953" width="21.5703125" style="139" customWidth="1"/>
    <col min="7954" max="8192" width="11.42578125" style="139"/>
    <col min="8193" max="8193" width="15" style="139" customWidth="1"/>
    <col min="8194" max="8196" width="23.5703125" style="139" customWidth="1"/>
    <col min="8197" max="8197" width="15.28515625" style="139" customWidth="1"/>
    <col min="8198" max="8198" width="24.85546875" style="139" customWidth="1"/>
    <col min="8199" max="8199" width="21.7109375" style="139" customWidth="1"/>
    <col min="8200" max="8200" width="20.42578125" style="139" customWidth="1"/>
    <col min="8201" max="8201" width="20.85546875" style="139" customWidth="1"/>
    <col min="8202" max="8202" width="22.28515625" style="139" customWidth="1"/>
    <col min="8203" max="8203" width="20.7109375" style="139" customWidth="1"/>
    <col min="8204" max="8204" width="20.42578125" style="139" customWidth="1"/>
    <col min="8205" max="8205" width="26.140625" style="139" customWidth="1"/>
    <col min="8206" max="8206" width="11.42578125" style="139"/>
    <col min="8207" max="8207" width="14.42578125" style="139" bestFit="1" customWidth="1"/>
    <col min="8208" max="8208" width="22" style="139" customWidth="1"/>
    <col min="8209" max="8209" width="21.5703125" style="139" customWidth="1"/>
    <col min="8210" max="8448" width="11.42578125" style="139"/>
    <col min="8449" max="8449" width="15" style="139" customWidth="1"/>
    <col min="8450" max="8452" width="23.5703125" style="139" customWidth="1"/>
    <col min="8453" max="8453" width="15.28515625" style="139" customWidth="1"/>
    <col min="8454" max="8454" width="24.85546875" style="139" customWidth="1"/>
    <col min="8455" max="8455" width="21.7109375" style="139" customWidth="1"/>
    <col min="8456" max="8456" width="20.42578125" style="139" customWidth="1"/>
    <col min="8457" max="8457" width="20.85546875" style="139" customWidth="1"/>
    <col min="8458" max="8458" width="22.28515625" style="139" customWidth="1"/>
    <col min="8459" max="8459" width="20.7109375" style="139" customWidth="1"/>
    <col min="8460" max="8460" width="20.42578125" style="139" customWidth="1"/>
    <col min="8461" max="8461" width="26.140625" style="139" customWidth="1"/>
    <col min="8462" max="8462" width="11.42578125" style="139"/>
    <col min="8463" max="8463" width="14.42578125" style="139" bestFit="1" customWidth="1"/>
    <col min="8464" max="8464" width="22" style="139" customWidth="1"/>
    <col min="8465" max="8465" width="21.5703125" style="139" customWidth="1"/>
    <col min="8466" max="8704" width="11.42578125" style="139"/>
    <col min="8705" max="8705" width="15" style="139" customWidth="1"/>
    <col min="8706" max="8708" width="23.5703125" style="139" customWidth="1"/>
    <col min="8709" max="8709" width="15.28515625" style="139" customWidth="1"/>
    <col min="8710" max="8710" width="24.85546875" style="139" customWidth="1"/>
    <col min="8711" max="8711" width="21.7109375" style="139" customWidth="1"/>
    <col min="8712" max="8712" width="20.42578125" style="139" customWidth="1"/>
    <col min="8713" max="8713" width="20.85546875" style="139" customWidth="1"/>
    <col min="8714" max="8714" width="22.28515625" style="139" customWidth="1"/>
    <col min="8715" max="8715" width="20.7109375" style="139" customWidth="1"/>
    <col min="8716" max="8716" width="20.42578125" style="139" customWidth="1"/>
    <col min="8717" max="8717" width="26.140625" style="139" customWidth="1"/>
    <col min="8718" max="8718" width="11.42578125" style="139"/>
    <col min="8719" max="8719" width="14.42578125" style="139" bestFit="1" customWidth="1"/>
    <col min="8720" max="8720" width="22" style="139" customWidth="1"/>
    <col min="8721" max="8721" width="21.5703125" style="139" customWidth="1"/>
    <col min="8722" max="8960" width="11.42578125" style="139"/>
    <col min="8961" max="8961" width="15" style="139" customWidth="1"/>
    <col min="8962" max="8964" width="23.5703125" style="139" customWidth="1"/>
    <col min="8965" max="8965" width="15.28515625" style="139" customWidth="1"/>
    <col min="8966" max="8966" width="24.85546875" style="139" customWidth="1"/>
    <col min="8967" max="8967" width="21.7109375" style="139" customWidth="1"/>
    <col min="8968" max="8968" width="20.42578125" style="139" customWidth="1"/>
    <col min="8969" max="8969" width="20.85546875" style="139" customWidth="1"/>
    <col min="8970" max="8970" width="22.28515625" style="139" customWidth="1"/>
    <col min="8971" max="8971" width="20.7109375" style="139" customWidth="1"/>
    <col min="8972" max="8972" width="20.42578125" style="139" customWidth="1"/>
    <col min="8973" max="8973" width="26.140625" style="139" customWidth="1"/>
    <col min="8974" max="8974" width="11.42578125" style="139"/>
    <col min="8975" max="8975" width="14.42578125" style="139" bestFit="1" customWidth="1"/>
    <col min="8976" max="8976" width="22" style="139" customWidth="1"/>
    <col min="8977" max="8977" width="21.5703125" style="139" customWidth="1"/>
    <col min="8978" max="9216" width="11.42578125" style="139"/>
    <col min="9217" max="9217" width="15" style="139" customWidth="1"/>
    <col min="9218" max="9220" width="23.5703125" style="139" customWidth="1"/>
    <col min="9221" max="9221" width="15.28515625" style="139" customWidth="1"/>
    <col min="9222" max="9222" width="24.85546875" style="139" customWidth="1"/>
    <col min="9223" max="9223" width="21.7109375" style="139" customWidth="1"/>
    <col min="9224" max="9224" width="20.42578125" style="139" customWidth="1"/>
    <col min="9225" max="9225" width="20.85546875" style="139" customWidth="1"/>
    <col min="9226" max="9226" width="22.28515625" style="139" customWidth="1"/>
    <col min="9227" max="9227" width="20.7109375" style="139" customWidth="1"/>
    <col min="9228" max="9228" width="20.42578125" style="139" customWidth="1"/>
    <col min="9229" max="9229" width="26.140625" style="139" customWidth="1"/>
    <col min="9230" max="9230" width="11.42578125" style="139"/>
    <col min="9231" max="9231" width="14.42578125" style="139" bestFit="1" customWidth="1"/>
    <col min="9232" max="9232" width="22" style="139" customWidth="1"/>
    <col min="9233" max="9233" width="21.5703125" style="139" customWidth="1"/>
    <col min="9234" max="9472" width="11.42578125" style="139"/>
    <col min="9473" max="9473" width="15" style="139" customWidth="1"/>
    <col min="9474" max="9476" width="23.5703125" style="139" customWidth="1"/>
    <col min="9477" max="9477" width="15.28515625" style="139" customWidth="1"/>
    <col min="9478" max="9478" width="24.85546875" style="139" customWidth="1"/>
    <col min="9479" max="9479" width="21.7109375" style="139" customWidth="1"/>
    <col min="9480" max="9480" width="20.42578125" style="139" customWidth="1"/>
    <col min="9481" max="9481" width="20.85546875" style="139" customWidth="1"/>
    <col min="9482" max="9482" width="22.28515625" style="139" customWidth="1"/>
    <col min="9483" max="9483" width="20.7109375" style="139" customWidth="1"/>
    <col min="9484" max="9484" width="20.42578125" style="139" customWidth="1"/>
    <col min="9485" max="9485" width="26.140625" style="139" customWidth="1"/>
    <col min="9486" max="9486" width="11.42578125" style="139"/>
    <col min="9487" max="9487" width="14.42578125" style="139" bestFit="1" customWidth="1"/>
    <col min="9488" max="9488" width="22" style="139" customWidth="1"/>
    <col min="9489" max="9489" width="21.5703125" style="139" customWidth="1"/>
    <col min="9490" max="9728" width="11.42578125" style="139"/>
    <col min="9729" max="9729" width="15" style="139" customWidth="1"/>
    <col min="9730" max="9732" width="23.5703125" style="139" customWidth="1"/>
    <col min="9733" max="9733" width="15.28515625" style="139" customWidth="1"/>
    <col min="9734" max="9734" width="24.85546875" style="139" customWidth="1"/>
    <col min="9735" max="9735" width="21.7109375" style="139" customWidth="1"/>
    <col min="9736" max="9736" width="20.42578125" style="139" customWidth="1"/>
    <col min="9737" max="9737" width="20.85546875" style="139" customWidth="1"/>
    <col min="9738" max="9738" width="22.28515625" style="139" customWidth="1"/>
    <col min="9739" max="9739" width="20.7109375" style="139" customWidth="1"/>
    <col min="9740" max="9740" width="20.42578125" style="139" customWidth="1"/>
    <col min="9741" max="9741" width="26.140625" style="139" customWidth="1"/>
    <col min="9742" max="9742" width="11.42578125" style="139"/>
    <col min="9743" max="9743" width="14.42578125" style="139" bestFit="1" customWidth="1"/>
    <col min="9744" max="9744" width="22" style="139" customWidth="1"/>
    <col min="9745" max="9745" width="21.5703125" style="139" customWidth="1"/>
    <col min="9746" max="9984" width="11.42578125" style="139"/>
    <col min="9985" max="9985" width="15" style="139" customWidth="1"/>
    <col min="9986" max="9988" width="23.5703125" style="139" customWidth="1"/>
    <col min="9989" max="9989" width="15.28515625" style="139" customWidth="1"/>
    <col min="9990" max="9990" width="24.85546875" style="139" customWidth="1"/>
    <col min="9991" max="9991" width="21.7109375" style="139" customWidth="1"/>
    <col min="9992" max="9992" width="20.42578125" style="139" customWidth="1"/>
    <col min="9993" max="9993" width="20.85546875" style="139" customWidth="1"/>
    <col min="9994" max="9994" width="22.28515625" style="139" customWidth="1"/>
    <col min="9995" max="9995" width="20.7109375" style="139" customWidth="1"/>
    <col min="9996" max="9996" width="20.42578125" style="139" customWidth="1"/>
    <col min="9997" max="9997" width="26.140625" style="139" customWidth="1"/>
    <col min="9998" max="9998" width="11.42578125" style="139"/>
    <col min="9999" max="9999" width="14.42578125" style="139" bestFit="1" customWidth="1"/>
    <col min="10000" max="10000" width="22" style="139" customWidth="1"/>
    <col min="10001" max="10001" width="21.5703125" style="139" customWidth="1"/>
    <col min="10002" max="10240" width="11.42578125" style="139"/>
    <col min="10241" max="10241" width="15" style="139" customWidth="1"/>
    <col min="10242" max="10244" width="23.5703125" style="139" customWidth="1"/>
    <col min="10245" max="10245" width="15.28515625" style="139" customWidth="1"/>
    <col min="10246" max="10246" width="24.85546875" style="139" customWidth="1"/>
    <col min="10247" max="10247" width="21.7109375" style="139" customWidth="1"/>
    <col min="10248" max="10248" width="20.42578125" style="139" customWidth="1"/>
    <col min="10249" max="10249" width="20.85546875" style="139" customWidth="1"/>
    <col min="10250" max="10250" width="22.28515625" style="139" customWidth="1"/>
    <col min="10251" max="10251" width="20.7109375" style="139" customWidth="1"/>
    <col min="10252" max="10252" width="20.42578125" style="139" customWidth="1"/>
    <col min="10253" max="10253" width="26.140625" style="139" customWidth="1"/>
    <col min="10254" max="10254" width="11.42578125" style="139"/>
    <col min="10255" max="10255" width="14.42578125" style="139" bestFit="1" customWidth="1"/>
    <col min="10256" max="10256" width="22" style="139" customWidth="1"/>
    <col min="10257" max="10257" width="21.5703125" style="139" customWidth="1"/>
    <col min="10258" max="10496" width="11.42578125" style="139"/>
    <col min="10497" max="10497" width="15" style="139" customWidth="1"/>
    <col min="10498" max="10500" width="23.5703125" style="139" customWidth="1"/>
    <col min="10501" max="10501" width="15.28515625" style="139" customWidth="1"/>
    <col min="10502" max="10502" width="24.85546875" style="139" customWidth="1"/>
    <col min="10503" max="10503" width="21.7109375" style="139" customWidth="1"/>
    <col min="10504" max="10504" width="20.42578125" style="139" customWidth="1"/>
    <col min="10505" max="10505" width="20.85546875" style="139" customWidth="1"/>
    <col min="10506" max="10506" width="22.28515625" style="139" customWidth="1"/>
    <col min="10507" max="10507" width="20.7109375" style="139" customWidth="1"/>
    <col min="10508" max="10508" width="20.42578125" style="139" customWidth="1"/>
    <col min="10509" max="10509" width="26.140625" style="139" customWidth="1"/>
    <col min="10510" max="10510" width="11.42578125" style="139"/>
    <col min="10511" max="10511" width="14.42578125" style="139" bestFit="1" customWidth="1"/>
    <col min="10512" max="10512" width="22" style="139" customWidth="1"/>
    <col min="10513" max="10513" width="21.5703125" style="139" customWidth="1"/>
    <col min="10514" max="10752" width="11.42578125" style="139"/>
    <col min="10753" max="10753" width="15" style="139" customWidth="1"/>
    <col min="10754" max="10756" width="23.5703125" style="139" customWidth="1"/>
    <col min="10757" max="10757" width="15.28515625" style="139" customWidth="1"/>
    <col min="10758" max="10758" width="24.85546875" style="139" customWidth="1"/>
    <col min="10759" max="10759" width="21.7109375" style="139" customWidth="1"/>
    <col min="10760" max="10760" width="20.42578125" style="139" customWidth="1"/>
    <col min="10761" max="10761" width="20.85546875" style="139" customWidth="1"/>
    <col min="10762" max="10762" width="22.28515625" style="139" customWidth="1"/>
    <col min="10763" max="10763" width="20.7109375" style="139" customWidth="1"/>
    <col min="10764" max="10764" width="20.42578125" style="139" customWidth="1"/>
    <col min="10765" max="10765" width="26.140625" style="139" customWidth="1"/>
    <col min="10766" max="10766" width="11.42578125" style="139"/>
    <col min="10767" max="10767" width="14.42578125" style="139" bestFit="1" customWidth="1"/>
    <col min="10768" max="10768" width="22" style="139" customWidth="1"/>
    <col min="10769" max="10769" width="21.5703125" style="139" customWidth="1"/>
    <col min="10770" max="11008" width="11.42578125" style="139"/>
    <col min="11009" max="11009" width="15" style="139" customWidth="1"/>
    <col min="11010" max="11012" width="23.5703125" style="139" customWidth="1"/>
    <col min="11013" max="11013" width="15.28515625" style="139" customWidth="1"/>
    <col min="11014" max="11014" width="24.85546875" style="139" customWidth="1"/>
    <col min="11015" max="11015" width="21.7109375" style="139" customWidth="1"/>
    <col min="11016" max="11016" width="20.42578125" style="139" customWidth="1"/>
    <col min="11017" max="11017" width="20.85546875" style="139" customWidth="1"/>
    <col min="11018" max="11018" width="22.28515625" style="139" customWidth="1"/>
    <col min="11019" max="11019" width="20.7109375" style="139" customWidth="1"/>
    <col min="11020" max="11020" width="20.42578125" style="139" customWidth="1"/>
    <col min="11021" max="11021" width="26.140625" style="139" customWidth="1"/>
    <col min="11022" max="11022" width="11.42578125" style="139"/>
    <col min="11023" max="11023" width="14.42578125" style="139" bestFit="1" customWidth="1"/>
    <col min="11024" max="11024" width="22" style="139" customWidth="1"/>
    <col min="11025" max="11025" width="21.5703125" style="139" customWidth="1"/>
    <col min="11026" max="11264" width="11.42578125" style="139"/>
    <col min="11265" max="11265" width="15" style="139" customWidth="1"/>
    <col min="11266" max="11268" width="23.5703125" style="139" customWidth="1"/>
    <col min="11269" max="11269" width="15.28515625" style="139" customWidth="1"/>
    <col min="11270" max="11270" width="24.85546875" style="139" customWidth="1"/>
    <col min="11271" max="11271" width="21.7109375" style="139" customWidth="1"/>
    <col min="11272" max="11272" width="20.42578125" style="139" customWidth="1"/>
    <col min="11273" max="11273" width="20.85546875" style="139" customWidth="1"/>
    <col min="11274" max="11274" width="22.28515625" style="139" customWidth="1"/>
    <col min="11275" max="11275" width="20.7109375" style="139" customWidth="1"/>
    <col min="11276" max="11276" width="20.42578125" style="139" customWidth="1"/>
    <col min="11277" max="11277" width="26.140625" style="139" customWidth="1"/>
    <col min="11278" max="11278" width="11.42578125" style="139"/>
    <col min="11279" max="11279" width="14.42578125" style="139" bestFit="1" customWidth="1"/>
    <col min="11280" max="11280" width="22" style="139" customWidth="1"/>
    <col min="11281" max="11281" width="21.5703125" style="139" customWidth="1"/>
    <col min="11282" max="11520" width="11.42578125" style="139"/>
    <col min="11521" max="11521" width="15" style="139" customWidth="1"/>
    <col min="11522" max="11524" width="23.5703125" style="139" customWidth="1"/>
    <col min="11525" max="11525" width="15.28515625" style="139" customWidth="1"/>
    <col min="11526" max="11526" width="24.85546875" style="139" customWidth="1"/>
    <col min="11527" max="11527" width="21.7109375" style="139" customWidth="1"/>
    <col min="11528" max="11528" width="20.42578125" style="139" customWidth="1"/>
    <col min="11529" max="11529" width="20.85546875" style="139" customWidth="1"/>
    <col min="11530" max="11530" width="22.28515625" style="139" customWidth="1"/>
    <col min="11531" max="11531" width="20.7109375" style="139" customWidth="1"/>
    <col min="11532" max="11532" width="20.42578125" style="139" customWidth="1"/>
    <col min="11533" max="11533" width="26.140625" style="139" customWidth="1"/>
    <col min="11534" max="11534" width="11.42578125" style="139"/>
    <col min="11535" max="11535" width="14.42578125" style="139" bestFit="1" customWidth="1"/>
    <col min="11536" max="11536" width="22" style="139" customWidth="1"/>
    <col min="11537" max="11537" width="21.5703125" style="139" customWidth="1"/>
    <col min="11538" max="11776" width="11.42578125" style="139"/>
    <col min="11777" max="11777" width="15" style="139" customWidth="1"/>
    <col min="11778" max="11780" width="23.5703125" style="139" customWidth="1"/>
    <col min="11781" max="11781" width="15.28515625" style="139" customWidth="1"/>
    <col min="11782" max="11782" width="24.85546875" style="139" customWidth="1"/>
    <col min="11783" max="11783" width="21.7109375" style="139" customWidth="1"/>
    <col min="11784" max="11784" width="20.42578125" style="139" customWidth="1"/>
    <col min="11785" max="11785" width="20.85546875" style="139" customWidth="1"/>
    <col min="11786" max="11786" width="22.28515625" style="139" customWidth="1"/>
    <col min="11787" max="11787" width="20.7109375" style="139" customWidth="1"/>
    <col min="11788" max="11788" width="20.42578125" style="139" customWidth="1"/>
    <col min="11789" max="11789" width="26.140625" style="139" customWidth="1"/>
    <col min="11790" max="11790" width="11.42578125" style="139"/>
    <col min="11791" max="11791" width="14.42578125" style="139" bestFit="1" customWidth="1"/>
    <col min="11792" max="11792" width="22" style="139" customWidth="1"/>
    <col min="11793" max="11793" width="21.5703125" style="139" customWidth="1"/>
    <col min="11794" max="12032" width="11.42578125" style="139"/>
    <col min="12033" max="12033" width="15" style="139" customWidth="1"/>
    <col min="12034" max="12036" width="23.5703125" style="139" customWidth="1"/>
    <col min="12037" max="12037" width="15.28515625" style="139" customWidth="1"/>
    <col min="12038" max="12038" width="24.85546875" style="139" customWidth="1"/>
    <col min="12039" max="12039" width="21.7109375" style="139" customWidth="1"/>
    <col min="12040" max="12040" width="20.42578125" style="139" customWidth="1"/>
    <col min="12041" max="12041" width="20.85546875" style="139" customWidth="1"/>
    <col min="12042" max="12042" width="22.28515625" style="139" customWidth="1"/>
    <col min="12043" max="12043" width="20.7109375" style="139" customWidth="1"/>
    <col min="12044" max="12044" width="20.42578125" style="139" customWidth="1"/>
    <col min="12045" max="12045" width="26.140625" style="139" customWidth="1"/>
    <col min="12046" max="12046" width="11.42578125" style="139"/>
    <col min="12047" max="12047" width="14.42578125" style="139" bestFit="1" customWidth="1"/>
    <col min="12048" max="12048" width="22" style="139" customWidth="1"/>
    <col min="12049" max="12049" width="21.5703125" style="139" customWidth="1"/>
    <col min="12050" max="12288" width="11.42578125" style="139"/>
    <col min="12289" max="12289" width="15" style="139" customWidth="1"/>
    <col min="12290" max="12292" width="23.5703125" style="139" customWidth="1"/>
    <col min="12293" max="12293" width="15.28515625" style="139" customWidth="1"/>
    <col min="12294" max="12294" width="24.85546875" style="139" customWidth="1"/>
    <col min="12295" max="12295" width="21.7109375" style="139" customWidth="1"/>
    <col min="12296" max="12296" width="20.42578125" style="139" customWidth="1"/>
    <col min="12297" max="12297" width="20.85546875" style="139" customWidth="1"/>
    <col min="12298" max="12298" width="22.28515625" style="139" customWidth="1"/>
    <col min="12299" max="12299" width="20.7109375" style="139" customWidth="1"/>
    <col min="12300" max="12300" width="20.42578125" style="139" customWidth="1"/>
    <col min="12301" max="12301" width="26.140625" style="139" customWidth="1"/>
    <col min="12302" max="12302" width="11.42578125" style="139"/>
    <col min="12303" max="12303" width="14.42578125" style="139" bestFit="1" customWidth="1"/>
    <col min="12304" max="12304" width="22" style="139" customWidth="1"/>
    <col min="12305" max="12305" width="21.5703125" style="139" customWidth="1"/>
    <col min="12306" max="12544" width="11.42578125" style="139"/>
    <col min="12545" max="12545" width="15" style="139" customWidth="1"/>
    <col min="12546" max="12548" width="23.5703125" style="139" customWidth="1"/>
    <col min="12549" max="12549" width="15.28515625" style="139" customWidth="1"/>
    <col min="12550" max="12550" width="24.85546875" style="139" customWidth="1"/>
    <col min="12551" max="12551" width="21.7109375" style="139" customWidth="1"/>
    <col min="12552" max="12552" width="20.42578125" style="139" customWidth="1"/>
    <col min="12553" max="12553" width="20.85546875" style="139" customWidth="1"/>
    <col min="12554" max="12554" width="22.28515625" style="139" customWidth="1"/>
    <col min="12555" max="12555" width="20.7109375" style="139" customWidth="1"/>
    <col min="12556" max="12556" width="20.42578125" style="139" customWidth="1"/>
    <col min="12557" max="12557" width="26.140625" style="139" customWidth="1"/>
    <col min="12558" max="12558" width="11.42578125" style="139"/>
    <col min="12559" max="12559" width="14.42578125" style="139" bestFit="1" customWidth="1"/>
    <col min="12560" max="12560" width="22" style="139" customWidth="1"/>
    <col min="12561" max="12561" width="21.5703125" style="139" customWidth="1"/>
    <col min="12562" max="12800" width="11.42578125" style="139"/>
    <col min="12801" max="12801" width="15" style="139" customWidth="1"/>
    <col min="12802" max="12804" width="23.5703125" style="139" customWidth="1"/>
    <col min="12805" max="12805" width="15.28515625" style="139" customWidth="1"/>
    <col min="12806" max="12806" width="24.85546875" style="139" customWidth="1"/>
    <col min="12807" max="12807" width="21.7109375" style="139" customWidth="1"/>
    <col min="12808" max="12808" width="20.42578125" style="139" customWidth="1"/>
    <col min="12809" max="12809" width="20.85546875" style="139" customWidth="1"/>
    <col min="12810" max="12810" width="22.28515625" style="139" customWidth="1"/>
    <col min="12811" max="12811" width="20.7109375" style="139" customWidth="1"/>
    <col min="12812" max="12812" width="20.42578125" style="139" customWidth="1"/>
    <col min="12813" max="12813" width="26.140625" style="139" customWidth="1"/>
    <col min="12814" max="12814" width="11.42578125" style="139"/>
    <col min="12815" max="12815" width="14.42578125" style="139" bestFit="1" customWidth="1"/>
    <col min="12816" max="12816" width="22" style="139" customWidth="1"/>
    <col min="12817" max="12817" width="21.5703125" style="139" customWidth="1"/>
    <col min="12818" max="13056" width="11.42578125" style="139"/>
    <col min="13057" max="13057" width="15" style="139" customWidth="1"/>
    <col min="13058" max="13060" width="23.5703125" style="139" customWidth="1"/>
    <col min="13061" max="13061" width="15.28515625" style="139" customWidth="1"/>
    <col min="13062" max="13062" width="24.85546875" style="139" customWidth="1"/>
    <col min="13063" max="13063" width="21.7109375" style="139" customWidth="1"/>
    <col min="13064" max="13064" width="20.42578125" style="139" customWidth="1"/>
    <col min="13065" max="13065" width="20.85546875" style="139" customWidth="1"/>
    <col min="13066" max="13066" width="22.28515625" style="139" customWidth="1"/>
    <col min="13067" max="13067" width="20.7109375" style="139" customWidth="1"/>
    <col min="13068" max="13068" width="20.42578125" style="139" customWidth="1"/>
    <col min="13069" max="13069" width="26.140625" style="139" customWidth="1"/>
    <col min="13070" max="13070" width="11.42578125" style="139"/>
    <col min="13071" max="13071" width="14.42578125" style="139" bestFit="1" customWidth="1"/>
    <col min="13072" max="13072" width="22" style="139" customWidth="1"/>
    <col min="13073" max="13073" width="21.5703125" style="139" customWidth="1"/>
    <col min="13074" max="13312" width="11.42578125" style="139"/>
    <col min="13313" max="13313" width="15" style="139" customWidth="1"/>
    <col min="13314" max="13316" width="23.5703125" style="139" customWidth="1"/>
    <col min="13317" max="13317" width="15.28515625" style="139" customWidth="1"/>
    <col min="13318" max="13318" width="24.85546875" style="139" customWidth="1"/>
    <col min="13319" max="13319" width="21.7109375" style="139" customWidth="1"/>
    <col min="13320" max="13320" width="20.42578125" style="139" customWidth="1"/>
    <col min="13321" max="13321" width="20.85546875" style="139" customWidth="1"/>
    <col min="13322" max="13322" width="22.28515625" style="139" customWidth="1"/>
    <col min="13323" max="13323" width="20.7109375" style="139" customWidth="1"/>
    <col min="13324" max="13324" width="20.42578125" style="139" customWidth="1"/>
    <col min="13325" max="13325" width="26.140625" style="139" customWidth="1"/>
    <col min="13326" max="13326" width="11.42578125" style="139"/>
    <col min="13327" max="13327" width="14.42578125" style="139" bestFit="1" customWidth="1"/>
    <col min="13328" max="13328" width="22" style="139" customWidth="1"/>
    <col min="13329" max="13329" width="21.5703125" style="139" customWidth="1"/>
    <col min="13330" max="13568" width="11.42578125" style="139"/>
    <col min="13569" max="13569" width="15" style="139" customWidth="1"/>
    <col min="13570" max="13572" width="23.5703125" style="139" customWidth="1"/>
    <col min="13573" max="13573" width="15.28515625" style="139" customWidth="1"/>
    <col min="13574" max="13574" width="24.85546875" style="139" customWidth="1"/>
    <col min="13575" max="13575" width="21.7109375" style="139" customWidth="1"/>
    <col min="13576" max="13576" width="20.42578125" style="139" customWidth="1"/>
    <col min="13577" max="13577" width="20.85546875" style="139" customWidth="1"/>
    <col min="13578" max="13578" width="22.28515625" style="139" customWidth="1"/>
    <col min="13579" max="13579" width="20.7109375" style="139" customWidth="1"/>
    <col min="13580" max="13580" width="20.42578125" style="139" customWidth="1"/>
    <col min="13581" max="13581" width="26.140625" style="139" customWidth="1"/>
    <col min="13582" max="13582" width="11.42578125" style="139"/>
    <col min="13583" max="13583" width="14.42578125" style="139" bestFit="1" customWidth="1"/>
    <col min="13584" max="13584" width="22" style="139" customWidth="1"/>
    <col min="13585" max="13585" width="21.5703125" style="139" customWidth="1"/>
    <col min="13586" max="13824" width="11.42578125" style="139"/>
    <col min="13825" max="13825" width="15" style="139" customWidth="1"/>
    <col min="13826" max="13828" width="23.5703125" style="139" customWidth="1"/>
    <col min="13829" max="13829" width="15.28515625" style="139" customWidth="1"/>
    <col min="13830" max="13830" width="24.85546875" style="139" customWidth="1"/>
    <col min="13831" max="13831" width="21.7109375" style="139" customWidth="1"/>
    <col min="13832" max="13832" width="20.42578125" style="139" customWidth="1"/>
    <col min="13833" max="13833" width="20.85546875" style="139" customWidth="1"/>
    <col min="13834" max="13834" width="22.28515625" style="139" customWidth="1"/>
    <col min="13835" max="13835" width="20.7109375" style="139" customWidth="1"/>
    <col min="13836" max="13836" width="20.42578125" style="139" customWidth="1"/>
    <col min="13837" max="13837" width="26.140625" style="139" customWidth="1"/>
    <col min="13838" max="13838" width="11.42578125" style="139"/>
    <col min="13839" max="13839" width="14.42578125" style="139" bestFit="1" customWidth="1"/>
    <col min="13840" max="13840" width="22" style="139" customWidth="1"/>
    <col min="13841" max="13841" width="21.5703125" style="139" customWidth="1"/>
    <col min="13842" max="14080" width="11.42578125" style="139"/>
    <col min="14081" max="14081" width="15" style="139" customWidth="1"/>
    <col min="14082" max="14084" width="23.5703125" style="139" customWidth="1"/>
    <col min="14085" max="14085" width="15.28515625" style="139" customWidth="1"/>
    <col min="14086" max="14086" width="24.85546875" style="139" customWidth="1"/>
    <col min="14087" max="14087" width="21.7109375" style="139" customWidth="1"/>
    <col min="14088" max="14088" width="20.42578125" style="139" customWidth="1"/>
    <col min="14089" max="14089" width="20.85546875" style="139" customWidth="1"/>
    <col min="14090" max="14090" width="22.28515625" style="139" customWidth="1"/>
    <col min="14091" max="14091" width="20.7109375" style="139" customWidth="1"/>
    <col min="14092" max="14092" width="20.42578125" style="139" customWidth="1"/>
    <col min="14093" max="14093" width="26.140625" style="139" customWidth="1"/>
    <col min="14094" max="14094" width="11.42578125" style="139"/>
    <col min="14095" max="14095" width="14.42578125" style="139" bestFit="1" customWidth="1"/>
    <col min="14096" max="14096" width="22" style="139" customWidth="1"/>
    <col min="14097" max="14097" width="21.5703125" style="139" customWidth="1"/>
    <col min="14098" max="14336" width="11.42578125" style="139"/>
    <col min="14337" max="14337" width="15" style="139" customWidth="1"/>
    <col min="14338" max="14340" width="23.5703125" style="139" customWidth="1"/>
    <col min="14341" max="14341" width="15.28515625" style="139" customWidth="1"/>
    <col min="14342" max="14342" width="24.85546875" style="139" customWidth="1"/>
    <col min="14343" max="14343" width="21.7109375" style="139" customWidth="1"/>
    <col min="14344" max="14344" width="20.42578125" style="139" customWidth="1"/>
    <col min="14345" max="14345" width="20.85546875" style="139" customWidth="1"/>
    <col min="14346" max="14346" width="22.28515625" style="139" customWidth="1"/>
    <col min="14347" max="14347" width="20.7109375" style="139" customWidth="1"/>
    <col min="14348" max="14348" width="20.42578125" style="139" customWidth="1"/>
    <col min="14349" max="14349" width="26.140625" style="139" customWidth="1"/>
    <col min="14350" max="14350" width="11.42578125" style="139"/>
    <col min="14351" max="14351" width="14.42578125" style="139" bestFit="1" customWidth="1"/>
    <col min="14352" max="14352" width="22" style="139" customWidth="1"/>
    <col min="14353" max="14353" width="21.5703125" style="139" customWidth="1"/>
    <col min="14354" max="14592" width="11.42578125" style="139"/>
    <col min="14593" max="14593" width="15" style="139" customWidth="1"/>
    <col min="14594" max="14596" width="23.5703125" style="139" customWidth="1"/>
    <col min="14597" max="14597" width="15.28515625" style="139" customWidth="1"/>
    <col min="14598" max="14598" width="24.85546875" style="139" customWidth="1"/>
    <col min="14599" max="14599" width="21.7109375" style="139" customWidth="1"/>
    <col min="14600" max="14600" width="20.42578125" style="139" customWidth="1"/>
    <col min="14601" max="14601" width="20.85546875" style="139" customWidth="1"/>
    <col min="14602" max="14602" width="22.28515625" style="139" customWidth="1"/>
    <col min="14603" max="14603" width="20.7109375" style="139" customWidth="1"/>
    <col min="14604" max="14604" width="20.42578125" style="139" customWidth="1"/>
    <col min="14605" max="14605" width="26.140625" style="139" customWidth="1"/>
    <col min="14606" max="14606" width="11.42578125" style="139"/>
    <col min="14607" max="14607" width="14.42578125" style="139" bestFit="1" customWidth="1"/>
    <col min="14608" max="14608" width="22" style="139" customWidth="1"/>
    <col min="14609" max="14609" width="21.5703125" style="139" customWidth="1"/>
    <col min="14610" max="14848" width="11.42578125" style="139"/>
    <col min="14849" max="14849" width="15" style="139" customWidth="1"/>
    <col min="14850" max="14852" width="23.5703125" style="139" customWidth="1"/>
    <col min="14853" max="14853" width="15.28515625" style="139" customWidth="1"/>
    <col min="14854" max="14854" width="24.85546875" style="139" customWidth="1"/>
    <col min="14855" max="14855" width="21.7109375" style="139" customWidth="1"/>
    <col min="14856" max="14856" width="20.42578125" style="139" customWidth="1"/>
    <col min="14857" max="14857" width="20.85546875" style="139" customWidth="1"/>
    <col min="14858" max="14858" width="22.28515625" style="139" customWidth="1"/>
    <col min="14859" max="14859" width="20.7109375" style="139" customWidth="1"/>
    <col min="14860" max="14860" width="20.42578125" style="139" customWidth="1"/>
    <col min="14861" max="14861" width="26.140625" style="139" customWidth="1"/>
    <col min="14862" max="14862" width="11.42578125" style="139"/>
    <col min="14863" max="14863" width="14.42578125" style="139" bestFit="1" customWidth="1"/>
    <col min="14864" max="14864" width="22" style="139" customWidth="1"/>
    <col min="14865" max="14865" width="21.5703125" style="139" customWidth="1"/>
    <col min="14866" max="15104" width="11.42578125" style="139"/>
    <col min="15105" max="15105" width="15" style="139" customWidth="1"/>
    <col min="15106" max="15108" width="23.5703125" style="139" customWidth="1"/>
    <col min="15109" max="15109" width="15.28515625" style="139" customWidth="1"/>
    <col min="15110" max="15110" width="24.85546875" style="139" customWidth="1"/>
    <col min="15111" max="15111" width="21.7109375" style="139" customWidth="1"/>
    <col min="15112" max="15112" width="20.42578125" style="139" customWidth="1"/>
    <col min="15113" max="15113" width="20.85546875" style="139" customWidth="1"/>
    <col min="15114" max="15114" width="22.28515625" style="139" customWidth="1"/>
    <col min="15115" max="15115" width="20.7109375" style="139" customWidth="1"/>
    <col min="15116" max="15116" width="20.42578125" style="139" customWidth="1"/>
    <col min="15117" max="15117" width="26.140625" style="139" customWidth="1"/>
    <col min="15118" max="15118" width="11.42578125" style="139"/>
    <col min="15119" max="15119" width="14.42578125" style="139" bestFit="1" customWidth="1"/>
    <col min="15120" max="15120" width="22" style="139" customWidth="1"/>
    <col min="15121" max="15121" width="21.5703125" style="139" customWidth="1"/>
    <col min="15122" max="15360" width="11.42578125" style="139"/>
    <col min="15361" max="15361" width="15" style="139" customWidth="1"/>
    <col min="15362" max="15364" width="23.5703125" style="139" customWidth="1"/>
    <col min="15365" max="15365" width="15.28515625" style="139" customWidth="1"/>
    <col min="15366" max="15366" width="24.85546875" style="139" customWidth="1"/>
    <col min="15367" max="15367" width="21.7109375" style="139" customWidth="1"/>
    <col min="15368" max="15368" width="20.42578125" style="139" customWidth="1"/>
    <col min="15369" max="15369" width="20.85546875" style="139" customWidth="1"/>
    <col min="15370" max="15370" width="22.28515625" style="139" customWidth="1"/>
    <col min="15371" max="15371" width="20.7109375" style="139" customWidth="1"/>
    <col min="15372" max="15372" width="20.42578125" style="139" customWidth="1"/>
    <col min="15373" max="15373" width="26.140625" style="139" customWidth="1"/>
    <col min="15374" max="15374" width="11.42578125" style="139"/>
    <col min="15375" max="15375" width="14.42578125" style="139" bestFit="1" customWidth="1"/>
    <col min="15376" max="15376" width="22" style="139" customWidth="1"/>
    <col min="15377" max="15377" width="21.5703125" style="139" customWidth="1"/>
    <col min="15378" max="15616" width="11.42578125" style="139"/>
    <col min="15617" max="15617" width="15" style="139" customWidth="1"/>
    <col min="15618" max="15620" width="23.5703125" style="139" customWidth="1"/>
    <col min="15621" max="15621" width="15.28515625" style="139" customWidth="1"/>
    <col min="15622" max="15622" width="24.85546875" style="139" customWidth="1"/>
    <col min="15623" max="15623" width="21.7109375" style="139" customWidth="1"/>
    <col min="15624" max="15624" width="20.42578125" style="139" customWidth="1"/>
    <col min="15625" max="15625" width="20.85546875" style="139" customWidth="1"/>
    <col min="15626" max="15626" width="22.28515625" style="139" customWidth="1"/>
    <col min="15627" max="15627" width="20.7109375" style="139" customWidth="1"/>
    <col min="15628" max="15628" width="20.42578125" style="139" customWidth="1"/>
    <col min="15629" max="15629" width="26.140625" style="139" customWidth="1"/>
    <col min="15630" max="15630" width="11.42578125" style="139"/>
    <col min="15631" max="15631" width="14.42578125" style="139" bestFit="1" customWidth="1"/>
    <col min="15632" max="15632" width="22" style="139" customWidth="1"/>
    <col min="15633" max="15633" width="21.5703125" style="139" customWidth="1"/>
    <col min="15634" max="15872" width="11.42578125" style="139"/>
    <col min="15873" max="15873" width="15" style="139" customWidth="1"/>
    <col min="15874" max="15876" width="23.5703125" style="139" customWidth="1"/>
    <col min="15877" max="15877" width="15.28515625" style="139" customWidth="1"/>
    <col min="15878" max="15878" width="24.85546875" style="139" customWidth="1"/>
    <col min="15879" max="15879" width="21.7109375" style="139" customWidth="1"/>
    <col min="15880" max="15880" width="20.42578125" style="139" customWidth="1"/>
    <col min="15881" max="15881" width="20.85546875" style="139" customWidth="1"/>
    <col min="15882" max="15882" width="22.28515625" style="139" customWidth="1"/>
    <col min="15883" max="15883" width="20.7109375" style="139" customWidth="1"/>
    <col min="15884" max="15884" width="20.42578125" style="139" customWidth="1"/>
    <col min="15885" max="15885" width="26.140625" style="139" customWidth="1"/>
    <col min="15886" max="15886" width="11.42578125" style="139"/>
    <col min="15887" max="15887" width="14.42578125" style="139" bestFit="1" customWidth="1"/>
    <col min="15888" max="15888" width="22" style="139" customWidth="1"/>
    <col min="15889" max="15889" width="21.5703125" style="139" customWidth="1"/>
    <col min="15890" max="16128" width="11.42578125" style="139"/>
    <col min="16129" max="16129" width="15" style="139" customWidth="1"/>
    <col min="16130" max="16132" width="23.5703125" style="139" customWidth="1"/>
    <col min="16133" max="16133" width="15.28515625" style="139" customWidth="1"/>
    <col min="16134" max="16134" width="24.85546875" style="139" customWidth="1"/>
    <col min="16135" max="16135" width="21.7109375" style="139" customWidth="1"/>
    <col min="16136" max="16136" width="20.42578125" style="139" customWidth="1"/>
    <col min="16137" max="16137" width="20.85546875" style="139" customWidth="1"/>
    <col min="16138" max="16138" width="22.28515625" style="139" customWidth="1"/>
    <col min="16139" max="16139" width="20.7109375" style="139" customWidth="1"/>
    <col min="16140" max="16140" width="20.42578125" style="139" customWidth="1"/>
    <col min="16141" max="16141" width="26.140625" style="139" customWidth="1"/>
    <col min="16142" max="16142" width="11.42578125" style="139"/>
    <col min="16143" max="16143" width="14.42578125" style="139" bestFit="1" customWidth="1"/>
    <col min="16144" max="16144" width="22" style="139" customWidth="1"/>
    <col min="16145" max="16145" width="21.5703125" style="139" customWidth="1"/>
    <col min="16146" max="16384" width="11.42578125" style="139"/>
  </cols>
  <sheetData>
    <row r="1" spans="1:17" ht="15.75" thickBot="1" x14ac:dyDescent="0.3">
      <c r="A1" s="139" t="s">
        <v>209</v>
      </c>
      <c r="B1" s="139" t="s">
        <v>210</v>
      </c>
      <c r="C1" s="139" t="s">
        <v>211</v>
      </c>
      <c r="D1" s="139" t="s">
        <v>212</v>
      </c>
    </row>
    <row r="2" spans="1:17" ht="28.5" customHeight="1" x14ac:dyDescent="0.25">
      <c r="A2" s="140" t="s">
        <v>146</v>
      </c>
      <c r="B2" s="141"/>
      <c r="C2" s="141"/>
      <c r="D2" s="142"/>
      <c r="F2" s="143" t="s">
        <v>147</v>
      </c>
      <c r="G2" s="141"/>
      <c r="H2" s="144"/>
      <c r="I2" s="145"/>
      <c r="J2" s="146" t="s">
        <v>148</v>
      </c>
      <c r="K2" s="146"/>
      <c r="L2" s="146"/>
      <c r="M2" s="147"/>
      <c r="O2" s="291" t="s">
        <v>149</v>
      </c>
      <c r="P2" s="292"/>
      <c r="Q2" s="293"/>
    </row>
    <row r="3" spans="1:17" ht="54" customHeight="1" x14ac:dyDescent="0.25">
      <c r="A3" s="148"/>
      <c r="B3" s="149" t="s">
        <v>150</v>
      </c>
      <c r="C3" s="149" t="s">
        <v>151</v>
      </c>
      <c r="D3" s="150" t="s">
        <v>152</v>
      </c>
      <c r="E3" s="151"/>
      <c r="F3" s="152" t="s">
        <v>153</v>
      </c>
      <c r="G3" s="149" t="s">
        <v>154</v>
      </c>
      <c r="H3" s="149" t="s">
        <v>155</v>
      </c>
      <c r="I3" s="153"/>
      <c r="J3" s="154" t="s">
        <v>156</v>
      </c>
      <c r="K3" s="154" t="s">
        <v>157</v>
      </c>
      <c r="L3" s="154" t="s">
        <v>158</v>
      </c>
      <c r="M3" s="155" t="s">
        <v>159</v>
      </c>
      <c r="O3" s="156" t="s">
        <v>160</v>
      </c>
      <c r="P3" s="154" t="s">
        <v>161</v>
      </c>
      <c r="Q3" s="155" t="s">
        <v>162</v>
      </c>
    </row>
    <row r="4" spans="1:17" x14ac:dyDescent="0.25">
      <c r="A4" s="157">
        <v>2012</v>
      </c>
      <c r="B4" s="158">
        <f>C4+D4</f>
        <v>9.4660000000000011</v>
      </c>
      <c r="C4" s="158">
        <f>4144/1000</f>
        <v>4.1440000000000001</v>
      </c>
      <c r="D4" s="159">
        <f>5322/1000</f>
        <v>5.3220000000000001</v>
      </c>
      <c r="E4" s="160"/>
      <c r="F4" s="161">
        <f>G4+H4</f>
        <v>115.4390243902439</v>
      </c>
      <c r="G4" s="158">
        <f>C4/[2]CSG!$B$3</f>
        <v>50.536585365853661</v>
      </c>
      <c r="H4" s="158">
        <f>D4/[2]CSG!$C$3</f>
        <v>64.902439024390247</v>
      </c>
      <c r="I4" s="162"/>
      <c r="J4" s="158">
        <f t="shared" ref="J4:J10" si="0">G4/F4</f>
        <v>0.43777730826114519</v>
      </c>
      <c r="K4" s="158">
        <f t="shared" ref="K4:K10" si="1">H4/F4</f>
        <v>0.56222269173885486</v>
      </c>
      <c r="L4" s="294">
        <f>AVERAGE(J4:J10)</f>
        <v>0.4633704828156503</v>
      </c>
      <c r="M4" s="295">
        <f>AVERAGE(K4:K10)</f>
        <v>0.53662951718434981</v>
      </c>
      <c r="N4" s="160"/>
      <c r="O4" s="163"/>
      <c r="P4" s="164"/>
      <c r="Q4" s="165">
        <f>Q5*[3]CN13!$G5/[3]CN13!$G6</f>
        <v>28.766180197346891</v>
      </c>
    </row>
    <row r="5" spans="1:17" x14ac:dyDescent="0.25">
      <c r="A5" s="157">
        <v>2011</v>
      </c>
      <c r="B5" s="158">
        <f t="shared" ref="B5:B10" si="2">C5+D5</f>
        <v>9.1029999999999998</v>
      </c>
      <c r="C5" s="158">
        <f>3938/1000</f>
        <v>3.9380000000000002</v>
      </c>
      <c r="D5" s="159">
        <f>5165/1000</f>
        <v>5.165</v>
      </c>
      <c r="E5" s="160"/>
      <c r="F5" s="161">
        <f t="shared" ref="F5:F10" si="3">G5+H5</f>
        <v>111.01219512195121</v>
      </c>
      <c r="G5" s="217">
        <f>C5/[2]CSG!$B$3</f>
        <v>48.024390243902438</v>
      </c>
      <c r="H5" s="217">
        <f>D5/[2]CSG!$C$3</f>
        <v>62.987804878048777</v>
      </c>
      <c r="I5" s="162"/>
      <c r="J5" s="158">
        <f t="shared" si="0"/>
        <v>0.43260463583434039</v>
      </c>
      <c r="K5" s="158">
        <f t="shared" si="1"/>
        <v>0.56739536416565972</v>
      </c>
      <c r="L5" s="294"/>
      <c r="M5" s="295"/>
      <c r="N5" s="160"/>
      <c r="O5" s="161">
        <f>('[4]2042-montant'!$C197-'[4]2042-montant'!$D197)/1000000000</f>
        <v>21.223412329743958</v>
      </c>
      <c r="P5" s="158">
        <f>(IF('[4]2042-montant'!$B197&lt;=[5]micro!I3,(1-[5]micro!J3)*'[4]2042-montant'!$B197,'[4]2042-montant'!$B197))/1000000000</f>
        <v>6.7049179589423353</v>
      </c>
      <c r="Q5" s="159">
        <f>(O5+P5)</f>
        <v>27.928330288686293</v>
      </c>
    </row>
    <row r="6" spans="1:17" x14ac:dyDescent="0.25">
      <c r="A6" s="157">
        <v>2010</v>
      </c>
      <c r="B6" s="158">
        <f t="shared" si="2"/>
        <v>8.7789999999999999</v>
      </c>
      <c r="C6" s="158">
        <f>3763/1000</f>
        <v>3.7629999999999999</v>
      </c>
      <c r="D6" s="159">
        <f>5016/1000</f>
        <v>5.016</v>
      </c>
      <c r="E6" s="160"/>
      <c r="F6" s="161">
        <f t="shared" si="3"/>
        <v>107.0609756097561</v>
      </c>
      <c r="G6" s="217">
        <f>C6/[2]CSG!$B$3</f>
        <v>45.890243902439025</v>
      </c>
      <c r="H6" s="217">
        <f>D6/[2]CSG!$C$3</f>
        <v>61.170731707317074</v>
      </c>
      <c r="I6" s="162"/>
      <c r="J6" s="158">
        <f t="shared" si="0"/>
        <v>0.42863651896571364</v>
      </c>
      <c r="K6" s="158">
        <f t="shared" si="1"/>
        <v>0.57136348103428636</v>
      </c>
      <c r="L6" s="294"/>
      <c r="M6" s="295"/>
      <c r="N6" s="160"/>
      <c r="O6" s="161">
        <f>('[4]2042-montant'!$C198-'[4]2042-montant'!$D198)/1000000000</f>
        <v>21.894249348381024</v>
      </c>
      <c r="P6" s="247">
        <f>(IF('[4]2042-montant'!$B198&lt;=[5]micro!I4,(1-[5]micro!J4)*'[4]2042-montant'!$B198,'[4]2042-montant'!$B198))/1000000000</f>
        <v>6.9168493441456125</v>
      </c>
      <c r="Q6" s="159">
        <f t="shared" ref="Q6:Q19" si="4">(O6+P6)</f>
        <v>28.811098692526635</v>
      </c>
    </row>
    <row r="7" spans="1:17" x14ac:dyDescent="0.25">
      <c r="A7" s="157">
        <v>2009</v>
      </c>
      <c r="B7" s="158">
        <f t="shared" si="2"/>
        <v>8.9409999999999989</v>
      </c>
      <c r="C7" s="158">
        <f>4100/1000</f>
        <v>4.0999999999999996</v>
      </c>
      <c r="D7" s="159">
        <f>4841/1000</f>
        <v>4.8410000000000002</v>
      </c>
      <c r="E7" s="160"/>
      <c r="F7" s="161">
        <f t="shared" si="3"/>
        <v>109.03658536585365</v>
      </c>
      <c r="G7" s="217">
        <f>C7/[2]CSG!$B$3</f>
        <v>49.999999999999993</v>
      </c>
      <c r="H7" s="217">
        <f>D7/[2]CSG!$C$3</f>
        <v>59.036585365853661</v>
      </c>
      <c r="I7" s="162"/>
      <c r="J7" s="158">
        <f t="shared" si="0"/>
        <v>0.45856168213846321</v>
      </c>
      <c r="K7" s="158">
        <f t="shared" si="1"/>
        <v>0.54143831786153673</v>
      </c>
      <c r="L7" s="294"/>
      <c r="M7" s="295"/>
      <c r="N7" s="160"/>
      <c r="O7" s="161">
        <f>('[4]2042-montant'!$C199-'[4]2042-montant'!$D199)/1000000000</f>
        <v>22.586290417459267</v>
      </c>
      <c r="P7" s="247">
        <f>(IF('[4]2042-montant'!$B199&lt;=[5]micro!I5,(1-[5]micro!J5)*'[4]2042-montant'!$B199,'[4]2042-montant'!$B199))/1000000000</f>
        <v>7.135479530484</v>
      </c>
      <c r="Q7" s="159">
        <f t="shared" si="4"/>
        <v>29.721769947943265</v>
      </c>
    </row>
    <row r="8" spans="1:17" x14ac:dyDescent="0.25">
      <c r="A8" s="157">
        <v>2008</v>
      </c>
      <c r="B8" s="158">
        <f t="shared" si="2"/>
        <v>11.341000000000001</v>
      </c>
      <c r="C8" s="158">
        <f>5854/1000</f>
        <v>5.8540000000000001</v>
      </c>
      <c r="D8" s="159">
        <f>5487/1000</f>
        <v>5.4870000000000001</v>
      </c>
      <c r="E8" s="160"/>
      <c r="F8" s="161">
        <f t="shared" si="3"/>
        <v>138.30487804878049</v>
      </c>
      <c r="G8" s="217">
        <f>C8/[2]CSG!$B$3</f>
        <v>71.390243902439025</v>
      </c>
      <c r="H8" s="217">
        <f>D8/[2]CSG!$C$3</f>
        <v>66.914634146341456</v>
      </c>
      <c r="I8" s="162"/>
      <c r="J8" s="158">
        <f t="shared" si="0"/>
        <v>0.51618023102019217</v>
      </c>
      <c r="K8" s="158">
        <f t="shared" si="1"/>
        <v>0.48381976897980772</v>
      </c>
      <c r="L8" s="294"/>
      <c r="M8" s="295"/>
      <c r="N8" s="160"/>
      <c r="O8" s="161">
        <f>('[4]2042-montant'!$C200-'[4]2042-montant'!$D200)/1000000000</f>
        <v>23.300205762000001</v>
      </c>
      <c r="P8" s="247">
        <f>(IF('[4]2042-montant'!$B200&lt;=[5]micro!I6,(1-[5]micro!J6)*'[4]2042-montant'!$B200,'[4]2042-montant'!$B200))/1000000000</f>
        <v>7.3610202559999998</v>
      </c>
      <c r="Q8" s="159">
        <f t="shared" si="4"/>
        <v>30.661226018000001</v>
      </c>
    </row>
    <row r="9" spans="1:17" x14ac:dyDescent="0.25">
      <c r="A9" s="157">
        <v>2007</v>
      </c>
      <c r="B9" s="158">
        <f t="shared" si="2"/>
        <v>11.025</v>
      </c>
      <c r="C9" s="158">
        <f>5570/1000</f>
        <v>5.57</v>
      </c>
      <c r="D9" s="159">
        <f>5455/1000</f>
        <v>5.4550000000000001</v>
      </c>
      <c r="E9" s="160"/>
      <c r="F9" s="161">
        <f t="shared" si="3"/>
        <v>134.45121951219511</v>
      </c>
      <c r="G9" s="217">
        <f>C9/[2]CSG!$B$3</f>
        <v>67.926829268292678</v>
      </c>
      <c r="H9" s="217">
        <f>D9/[2]CSG!$C$3</f>
        <v>66.524390243902431</v>
      </c>
      <c r="I9" s="162"/>
      <c r="J9" s="158">
        <f t="shared" si="0"/>
        <v>0.5052154195011338</v>
      </c>
      <c r="K9" s="158">
        <f t="shared" si="1"/>
        <v>0.4947845804988662</v>
      </c>
      <c r="L9" s="294"/>
      <c r="M9" s="295"/>
      <c r="N9" s="160"/>
      <c r="O9" s="161">
        <f>('[4]2042-montant'!$C201-'[4]2042-montant'!$D201)/1000000000</f>
        <v>22.621590869999999</v>
      </c>
      <c r="P9" s="247">
        <f>(IF('[4]2042-montant'!$B201&lt;=[5]micro!I7,(1-[5]micro!J7)*'[4]2042-montant'!$B201,'[4]2042-montant'!$B201))/1000000000</f>
        <v>7.3871179759999999</v>
      </c>
      <c r="Q9" s="159">
        <f t="shared" si="4"/>
        <v>30.008708845999998</v>
      </c>
    </row>
    <row r="10" spans="1:17" x14ac:dyDescent="0.25">
      <c r="A10" s="157">
        <v>2006</v>
      </c>
      <c r="B10" s="158">
        <f t="shared" si="2"/>
        <v>9.7929999999999993</v>
      </c>
      <c r="C10" s="158">
        <f>4550/1000</f>
        <v>4.55</v>
      </c>
      <c r="D10" s="159">
        <f>5243/1000</f>
        <v>5.2430000000000003</v>
      </c>
      <c r="E10" s="160"/>
      <c r="F10" s="161">
        <f t="shared" si="3"/>
        <v>119.42682926829268</v>
      </c>
      <c r="G10" s="158">
        <f>C10/[2]CSG!$B$4</f>
        <v>55.487804878048777</v>
      </c>
      <c r="H10" s="158">
        <f>D10/[2]CSG!$C$4</f>
        <v>63.939024390243901</v>
      </c>
      <c r="I10" s="162"/>
      <c r="J10" s="158">
        <f t="shared" si="0"/>
        <v>0.46461758398856323</v>
      </c>
      <c r="K10" s="158">
        <f t="shared" si="1"/>
        <v>0.53538241601143677</v>
      </c>
      <c r="L10" s="294"/>
      <c r="M10" s="295"/>
      <c r="N10" s="160"/>
      <c r="O10" s="161">
        <f>('[4]2042-montant'!$C202-'[4]2042-montant'!$D202)/1000000000</f>
        <v>21.560246818</v>
      </c>
      <c r="P10" s="247">
        <f>(IF('[4]2042-montant'!$B202&lt;=[5]micro!I8,(1-[5]micro!J8)*'[4]2042-montant'!$B202,'[4]2042-montant'!$B202))/1000000000</f>
        <v>7.3660368150000002</v>
      </c>
      <c r="Q10" s="159">
        <f t="shared" si="4"/>
        <v>28.926283633000001</v>
      </c>
    </row>
    <row r="11" spans="1:17" x14ac:dyDescent="0.25">
      <c r="A11" s="157">
        <v>2005</v>
      </c>
      <c r="B11" s="158">
        <f>7800/1000</f>
        <v>7.8</v>
      </c>
      <c r="C11" s="164"/>
      <c r="D11" s="166"/>
      <c r="E11" s="160"/>
      <c r="F11" s="161">
        <f>B11/AVERAGE([2]CSG!$B$4,[2]CSG!$C$4)</f>
        <v>95.121951219512184</v>
      </c>
      <c r="G11" s="167">
        <f>F11*$L$4</f>
        <v>44.076704462952094</v>
      </c>
      <c r="H11" s="167">
        <f>F11*$M$4</f>
        <v>51.045246756560097</v>
      </c>
      <c r="I11" s="162"/>
      <c r="J11" s="164"/>
      <c r="K11" s="164"/>
      <c r="L11" s="164"/>
      <c r="M11" s="166"/>
      <c r="N11" s="160"/>
      <c r="O11" s="161">
        <f>('[4]2042-montant'!$C203-'[4]2042-montant'!$D203)/1000000000</f>
        <v>16.805697044999999</v>
      </c>
      <c r="P11" s="247">
        <f>(IF('[4]2042-montant'!$B203&lt;=[5]micro!I9,(1-[5]micro!J9)*'[4]2042-montant'!$B203,'[4]2042-montant'!$B203))/1000000000</f>
        <v>6.9579245429999999</v>
      </c>
      <c r="Q11" s="159">
        <f t="shared" si="4"/>
        <v>23.763621587999999</v>
      </c>
    </row>
    <row r="12" spans="1:17" x14ac:dyDescent="0.25">
      <c r="A12" s="157">
        <v>2004</v>
      </c>
      <c r="B12" s="158">
        <f>6943/1000</f>
        <v>6.9429999999999996</v>
      </c>
      <c r="C12" s="164"/>
      <c r="D12" s="166"/>
      <c r="E12" s="160"/>
      <c r="F12" s="161">
        <f>B12/AVERAGE([2]CSG!$B$5,[2]CSG!$C$5)</f>
        <v>88.445859872611464</v>
      </c>
      <c r="G12" s="167">
        <f t="shared" ref="G12:G19" si="5">F12*$L$4</f>
        <v>40.983200792217325</v>
      </c>
      <c r="H12" s="167">
        <f t="shared" ref="H12:H19" si="6">F12*$M$4</f>
        <v>47.462659080394147</v>
      </c>
      <c r="I12" s="162"/>
      <c r="J12" s="164"/>
      <c r="K12" s="164"/>
      <c r="L12" s="164"/>
      <c r="M12" s="166"/>
      <c r="N12" s="160"/>
      <c r="O12" s="161">
        <f>('[4]2042-montant'!$C204-'[4]2042-montant'!$D204)/1000000000</f>
        <v>15.791674135999999</v>
      </c>
      <c r="P12" s="247">
        <f>(IF('[4]2042-montant'!$B204&lt;=[5]micro!I10,(1-[5]micro!J10)*'[4]2042-montant'!$B204,'[4]2042-montant'!$B204))/1000000000</f>
        <v>7.0931001289999998</v>
      </c>
      <c r="Q12" s="159">
        <f t="shared" si="4"/>
        <v>22.884774264999997</v>
      </c>
    </row>
    <row r="13" spans="1:17" x14ac:dyDescent="0.25">
      <c r="A13" s="157">
        <v>2003</v>
      </c>
      <c r="B13" s="158">
        <f>6531/1000</f>
        <v>6.5309999999999997</v>
      </c>
      <c r="C13" s="164"/>
      <c r="D13" s="166"/>
      <c r="E13" s="160"/>
      <c r="F13" s="161">
        <f>B13/AVERAGE([2]CSG!$B$6,[2]CSG!$C$6)</f>
        <v>87.08</v>
      </c>
      <c r="G13" s="167">
        <f t="shared" si="5"/>
        <v>40.350301643586825</v>
      </c>
      <c r="H13" s="167">
        <f t="shared" si="6"/>
        <v>46.729698356413181</v>
      </c>
      <c r="I13" s="162"/>
      <c r="J13" s="164"/>
      <c r="K13" s="164"/>
      <c r="L13" s="164"/>
      <c r="M13" s="166"/>
      <c r="N13" s="160"/>
      <c r="O13" s="161">
        <f>('[4]2042-montant'!$C205-'[4]2042-montant'!$D205)/1000000000</f>
        <v>15.173262341999999</v>
      </c>
      <c r="P13" s="247">
        <f>(IF('[4]2042-montant'!$B205&lt;=[5]micro!I11,(1-[5]micro!J11)*'[4]2042-montant'!$B205,'[4]2042-montant'!$B205))/1000000000</f>
        <v>6.9121509620000001</v>
      </c>
      <c r="Q13" s="159">
        <f t="shared" si="4"/>
        <v>22.085413303999999</v>
      </c>
    </row>
    <row r="14" spans="1:17" ht="13.5" customHeight="1" x14ac:dyDescent="0.25">
      <c r="A14" s="157">
        <v>2002</v>
      </c>
      <c r="B14" s="158">
        <f>6511/1000</f>
        <v>6.5110000000000001</v>
      </c>
      <c r="C14" s="164"/>
      <c r="D14" s="166"/>
      <c r="E14" s="160"/>
      <c r="F14" s="161">
        <f>B14/AVERAGE([2]CSG!$B$6,[2]CSG!$C$6)</f>
        <v>86.813333333333333</v>
      </c>
      <c r="G14" s="167">
        <f t="shared" si="5"/>
        <v>40.226736181502652</v>
      </c>
      <c r="H14" s="167">
        <f t="shared" si="6"/>
        <v>46.586597151830688</v>
      </c>
      <c r="I14" s="162"/>
      <c r="J14" s="164"/>
      <c r="K14" s="164"/>
      <c r="L14" s="164"/>
      <c r="M14" s="166"/>
      <c r="N14" s="160"/>
      <c r="O14" s="161">
        <f>('[4]2042-montant'!$C206-'[4]2042-montant'!$D206)/1000000000</f>
        <v>15.047083128986737</v>
      </c>
      <c r="P14" s="247">
        <f>(IF('[4]2042-montant'!$B206&lt;=[5]micro!I12,(1-[5]micro!J12)*'[4]2042-montant'!$B206,'[4]2042-montant'!$B206))/1000000000</f>
        <v>5.7159306264129297</v>
      </c>
      <c r="Q14" s="159">
        <f t="shared" si="4"/>
        <v>20.763013755399665</v>
      </c>
    </row>
    <row r="15" spans="1:17" x14ac:dyDescent="0.25">
      <c r="A15" s="157">
        <v>2001</v>
      </c>
      <c r="B15" s="158">
        <f>7104/1000</f>
        <v>7.1040000000000001</v>
      </c>
      <c r="C15" s="164"/>
      <c r="D15" s="166"/>
      <c r="E15" s="160"/>
      <c r="F15" s="161">
        <f>B15/AVERAGE([2]CSG!$B$6,[2]CSG!$C$6)</f>
        <v>94.72</v>
      </c>
      <c r="G15" s="167">
        <f t="shared" si="5"/>
        <v>43.890452132298392</v>
      </c>
      <c r="H15" s="167">
        <f t="shared" si="6"/>
        <v>50.829547867701613</v>
      </c>
      <c r="I15" s="162"/>
      <c r="J15" s="164"/>
      <c r="K15" s="164"/>
      <c r="L15" s="164"/>
      <c r="M15" s="166"/>
      <c r="N15" s="160"/>
      <c r="O15" s="161">
        <f>('[4]2042-montant'!$C207-'[4]2042-montant'!$D207)/1000000000</f>
        <v>14.955609804805565</v>
      </c>
      <c r="P15" s="247">
        <f>(IF('[4]2042-montant'!$B207&lt;=[5]micro!I13,(1-[5]micro!J13)*'[4]2042-montant'!$B207,'[4]2042-montant'!$B207))/1000000000</f>
        <v>4.8487335030820136</v>
      </c>
      <c r="Q15" s="159">
        <f t="shared" si="4"/>
        <v>19.804343307887578</v>
      </c>
    </row>
    <row r="16" spans="1:17" x14ac:dyDescent="0.25">
      <c r="A16" s="157">
        <v>2000</v>
      </c>
      <c r="B16" s="158">
        <f>6804/1000</f>
        <v>6.8040000000000003</v>
      </c>
      <c r="C16" s="164"/>
      <c r="D16" s="166"/>
      <c r="E16" s="160"/>
      <c r="F16" s="161">
        <f>B16/AVERAGE([2]CSG!$B$6,[2]CSG!$C$6)</f>
        <v>90.720000000000013</v>
      </c>
      <c r="G16" s="167">
        <f t="shared" si="5"/>
        <v>42.0369702010358</v>
      </c>
      <c r="H16" s="167">
        <f t="shared" si="6"/>
        <v>48.68302979896422</v>
      </c>
      <c r="I16" s="162"/>
      <c r="J16" s="164"/>
      <c r="K16" s="164"/>
      <c r="L16" s="164"/>
      <c r="M16" s="166"/>
      <c r="N16" s="160"/>
      <c r="O16" s="161">
        <f>('[4]2042-montant'!$C208-'[4]2042-montant'!$D208)/1000000000</f>
        <v>14.793864672001034</v>
      </c>
      <c r="P16" s="247">
        <f>(IF('[4]2042-montant'!$B208&lt;=[5]micro!I14,(1-[5]micro!J14)*'[4]2042-montant'!$B208,'[4]2042-montant'!$B208))/1000000000</f>
        <v>3.3153365795913317</v>
      </c>
      <c r="Q16" s="159">
        <f t="shared" si="4"/>
        <v>18.109201251592367</v>
      </c>
    </row>
    <row r="17" spans="1:17" x14ac:dyDescent="0.25">
      <c r="A17" s="157">
        <v>1999</v>
      </c>
      <c r="B17" s="158">
        <f>39.5/6.55957</f>
        <v>6.0217361808777099</v>
      </c>
      <c r="C17" s="164"/>
      <c r="D17" s="166"/>
      <c r="E17" s="160"/>
      <c r="F17" s="161">
        <f>B17/AVERAGE([2]CSG!$B$6,[2]CSG!$C$6)</f>
        <v>80.289815745036137</v>
      </c>
      <c r="G17" s="167">
        <f t="shared" si="5"/>
        <v>37.203930686956994</v>
      </c>
      <c r="H17" s="167">
        <f t="shared" si="6"/>
        <v>43.08588505807915</v>
      </c>
      <c r="I17" s="162"/>
      <c r="J17" s="164"/>
      <c r="K17" s="164"/>
      <c r="L17" s="164"/>
      <c r="M17" s="166"/>
      <c r="N17" s="160"/>
      <c r="O17" s="161">
        <f>('[4]2042-montant'!$C209-'[4]2042-montant'!$D209)/1000000000</f>
        <v>14.594132591814828</v>
      </c>
      <c r="P17" s="247">
        <f>(IF('[4]2042-montant'!$B209&lt;=[5]micro!I15,(1-[5]micro!J15)*'[4]2042-montant'!$B209,'[4]2042-montant'!$B209))/1000000000</f>
        <v>1.421810932361885</v>
      </c>
      <c r="Q17" s="159">
        <f t="shared" si="4"/>
        <v>16.015943524176713</v>
      </c>
    </row>
    <row r="18" spans="1:17" x14ac:dyDescent="0.25">
      <c r="A18" s="157">
        <v>1998</v>
      </c>
      <c r="B18" s="226">
        <f>G18*[2]CSG!B7+H18*[2]CSG!C7</f>
        <v>6.097342855732208</v>
      </c>
      <c r="C18" s="164"/>
      <c r="D18" s="166"/>
      <c r="E18" s="160"/>
      <c r="F18" s="168">
        <f>F17*([3]CN13!$G19+[3]CN15!$J19+[3]CN15!$K19+[3]CN15!$L19)/([3]CN13!$G18+[3]CN15!$J18+[3]CN15!$K18+[3]CN15!$L18)</f>
        <v>81.297904743096097</v>
      </c>
      <c r="G18" s="167">
        <f t="shared" si="5"/>
        <v>37.671049372709184</v>
      </c>
      <c r="H18" s="167">
        <f t="shared" si="6"/>
        <v>43.62685537038692</v>
      </c>
      <c r="I18" s="162"/>
      <c r="J18" s="164"/>
      <c r="K18" s="164"/>
      <c r="L18" s="164"/>
      <c r="M18" s="166"/>
      <c r="N18" s="160"/>
      <c r="O18" s="161">
        <f>('[4]2042-montant'!$C210-'[4]2042-montant'!$D210)/1000000000</f>
        <v>14.535860776292656</v>
      </c>
      <c r="P18" s="247">
        <f>(IF('[4]2042-montant'!$B210&lt;=[5]micro!I16,(1-[5]micro!J16)*'[4]2042-montant'!$B210,'[4]2042-montant'!$B210))/1000000000</f>
        <v>0.86937500369688869</v>
      </c>
      <c r="Q18" s="159">
        <f t="shared" si="4"/>
        <v>15.405235779989544</v>
      </c>
    </row>
    <row r="19" spans="1:17" ht="15.75" thickBot="1" x14ac:dyDescent="0.3">
      <c r="A19" s="169">
        <v>1997</v>
      </c>
      <c r="B19" s="227">
        <f>G19*[2]CSG!B9+H19*[2]CSG!C9</f>
        <v>4.1507149904073835</v>
      </c>
      <c r="C19" s="170"/>
      <c r="D19" s="171"/>
      <c r="E19" s="160"/>
      <c r="F19" s="168">
        <f>F18*([3]CN13!$G20+[3]CN15!$J20+[3]CN15!$K20+[3]CN15!$L20)/([3]CN13!$G19+[3]CN15!$J19+[3]CN15!$K19+[3]CN15!$L19)</f>
        <v>78.318052115138144</v>
      </c>
      <c r="G19" s="172">
        <f t="shared" si="5"/>
        <v>36.290273621772826</v>
      </c>
      <c r="H19" s="172">
        <f t="shared" si="6"/>
        <v>42.027778493365332</v>
      </c>
      <c r="I19" s="162"/>
      <c r="J19" s="170"/>
      <c r="K19" s="170"/>
      <c r="L19" s="170"/>
      <c r="M19" s="171"/>
      <c r="N19" s="160"/>
      <c r="O19" s="161">
        <f>('[4]2042-montant'!$C211-'[4]2042-montant'!$D211)/1000000000</f>
        <v>13.80800181857169</v>
      </c>
      <c r="P19" s="173">
        <f>0</f>
        <v>0</v>
      </c>
      <c r="Q19" s="174">
        <f t="shared" si="4"/>
        <v>13.80800181857169</v>
      </c>
    </row>
    <row r="20" spans="1:17" ht="52.5" customHeight="1" x14ac:dyDescent="0.25">
      <c r="A20" s="296" t="s">
        <v>176</v>
      </c>
      <c r="B20" s="296"/>
      <c r="C20" s="296"/>
      <c r="D20" s="296"/>
      <c r="F20" s="296" t="s">
        <v>196</v>
      </c>
      <c r="G20" s="296"/>
      <c r="H20" s="296"/>
      <c r="O20" s="296" t="s">
        <v>177</v>
      </c>
      <c r="P20" s="296"/>
      <c r="Q20" s="296"/>
    </row>
    <row r="21" spans="1:17" ht="77.25" customHeight="1" x14ac:dyDescent="0.25">
      <c r="A21" s="298" t="s">
        <v>178</v>
      </c>
      <c r="B21" s="298"/>
      <c r="C21" s="298"/>
      <c r="D21" s="298"/>
      <c r="F21" s="290" t="s">
        <v>197</v>
      </c>
      <c r="G21" s="290"/>
      <c r="H21" s="290"/>
      <c r="O21" s="290" t="s">
        <v>180</v>
      </c>
      <c r="P21" s="290"/>
      <c r="Q21" s="290"/>
    </row>
    <row r="22" spans="1:17" ht="72" customHeight="1" x14ac:dyDescent="0.25">
      <c r="A22" s="290" t="s">
        <v>208</v>
      </c>
      <c r="B22" s="290"/>
      <c r="C22" s="290"/>
      <c r="D22" s="290"/>
      <c r="F22" s="290" t="s">
        <v>179</v>
      </c>
      <c r="G22" s="290"/>
      <c r="H22" s="290"/>
      <c r="O22" s="290" t="s">
        <v>182</v>
      </c>
      <c r="P22" s="290"/>
      <c r="Q22" s="290"/>
    </row>
    <row r="23" spans="1:17" ht="63.75" customHeight="1" x14ac:dyDescent="0.25">
      <c r="A23" s="290" t="s">
        <v>183</v>
      </c>
      <c r="B23" s="290"/>
      <c r="C23" s="290"/>
      <c r="D23" s="290"/>
      <c r="F23" s="290" t="s">
        <v>181</v>
      </c>
      <c r="G23" s="290"/>
      <c r="H23" s="290"/>
    </row>
    <row r="25" spans="1:17" ht="30" customHeight="1" x14ac:dyDescent="0.25">
      <c r="A25" s="297" t="s">
        <v>184</v>
      </c>
      <c r="B25" s="297"/>
      <c r="C25" s="297"/>
      <c r="D25" s="297"/>
      <c r="E25" s="297"/>
      <c r="F25" s="297"/>
      <c r="G25" s="297"/>
      <c r="H25" s="297"/>
    </row>
    <row r="26" spans="1:17" ht="86.25" customHeight="1" x14ac:dyDescent="0.25">
      <c r="A26" s="297" t="s">
        <v>185</v>
      </c>
      <c r="B26" s="297"/>
      <c r="C26" s="297"/>
      <c r="D26" s="297"/>
      <c r="E26" s="297"/>
      <c r="F26" s="297"/>
      <c r="G26" s="297"/>
      <c r="H26" s="297"/>
    </row>
  </sheetData>
  <mergeCells count="16">
    <mergeCell ref="A23:D23"/>
    <mergeCell ref="A25:H25"/>
    <mergeCell ref="A26:H26"/>
    <mergeCell ref="A21:D21"/>
    <mergeCell ref="F21:H21"/>
    <mergeCell ref="F23:H23"/>
    <mergeCell ref="O21:Q21"/>
    <mergeCell ref="A22:D22"/>
    <mergeCell ref="F22:H22"/>
    <mergeCell ref="O22:Q22"/>
    <mergeCell ref="O2:Q2"/>
    <mergeCell ref="L4:L10"/>
    <mergeCell ref="M4:M10"/>
    <mergeCell ref="A20:D20"/>
    <mergeCell ref="F20:H20"/>
    <mergeCell ref="O20:Q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workbookViewId="0">
      <pane xSplit="1" ySplit="2" topLeftCell="B3" activePane="bottomRight" state="frozen"/>
      <selection pane="topRight" activeCell="B1" sqref="B1"/>
      <selection pane="bottomLeft" activeCell="A6" sqref="A6"/>
      <selection pane="bottomRight" activeCell="M3" sqref="M3"/>
    </sheetView>
  </sheetViews>
  <sheetFormatPr baseColWidth="10" defaultRowHeight="15" x14ac:dyDescent="0.25"/>
  <cols>
    <col min="1" max="1" width="11.42578125" style="139"/>
    <col min="2" max="2" width="14.85546875" style="139" customWidth="1"/>
    <col min="3" max="257" width="11.42578125" style="139"/>
    <col min="258" max="258" width="14.85546875" style="139" customWidth="1"/>
    <col min="259" max="513" width="11.42578125" style="139"/>
    <col min="514" max="514" width="14.85546875" style="139" customWidth="1"/>
    <col min="515" max="769" width="11.42578125" style="139"/>
    <col min="770" max="770" width="14.85546875" style="139" customWidth="1"/>
    <col min="771" max="1025" width="11.42578125" style="139"/>
    <col min="1026" max="1026" width="14.85546875" style="139" customWidth="1"/>
    <col min="1027" max="1281" width="11.42578125" style="139"/>
    <col min="1282" max="1282" width="14.85546875" style="139" customWidth="1"/>
    <col min="1283" max="1537" width="11.42578125" style="139"/>
    <col min="1538" max="1538" width="14.85546875" style="139" customWidth="1"/>
    <col min="1539" max="1793" width="11.42578125" style="139"/>
    <col min="1794" max="1794" width="14.85546875" style="139" customWidth="1"/>
    <col min="1795" max="2049" width="11.42578125" style="139"/>
    <col min="2050" max="2050" width="14.85546875" style="139" customWidth="1"/>
    <col min="2051" max="2305" width="11.42578125" style="139"/>
    <col min="2306" max="2306" width="14.85546875" style="139" customWidth="1"/>
    <col min="2307" max="2561" width="11.42578125" style="139"/>
    <col min="2562" max="2562" width="14.85546875" style="139" customWidth="1"/>
    <col min="2563" max="2817" width="11.42578125" style="139"/>
    <col min="2818" max="2818" width="14.85546875" style="139" customWidth="1"/>
    <col min="2819" max="3073" width="11.42578125" style="139"/>
    <col min="3074" max="3074" width="14.85546875" style="139" customWidth="1"/>
    <col min="3075" max="3329" width="11.42578125" style="139"/>
    <col min="3330" max="3330" width="14.85546875" style="139" customWidth="1"/>
    <col min="3331" max="3585" width="11.42578125" style="139"/>
    <col min="3586" max="3586" width="14.85546875" style="139" customWidth="1"/>
    <col min="3587" max="3841" width="11.42578125" style="139"/>
    <col min="3842" max="3842" width="14.85546875" style="139" customWidth="1"/>
    <col min="3843" max="4097" width="11.42578125" style="139"/>
    <col min="4098" max="4098" width="14.85546875" style="139" customWidth="1"/>
    <col min="4099" max="4353" width="11.42578125" style="139"/>
    <col min="4354" max="4354" width="14.85546875" style="139" customWidth="1"/>
    <col min="4355" max="4609" width="11.42578125" style="139"/>
    <col min="4610" max="4610" width="14.85546875" style="139" customWidth="1"/>
    <col min="4611" max="4865" width="11.42578125" style="139"/>
    <col min="4866" max="4866" width="14.85546875" style="139" customWidth="1"/>
    <col min="4867" max="5121" width="11.42578125" style="139"/>
    <col min="5122" max="5122" width="14.85546875" style="139" customWidth="1"/>
    <col min="5123" max="5377" width="11.42578125" style="139"/>
    <col min="5378" max="5378" width="14.85546875" style="139" customWidth="1"/>
    <col min="5379" max="5633" width="11.42578125" style="139"/>
    <col min="5634" max="5634" width="14.85546875" style="139" customWidth="1"/>
    <col min="5635" max="5889" width="11.42578125" style="139"/>
    <col min="5890" max="5890" width="14.85546875" style="139" customWidth="1"/>
    <col min="5891" max="6145" width="11.42578125" style="139"/>
    <col min="6146" max="6146" width="14.85546875" style="139" customWidth="1"/>
    <col min="6147" max="6401" width="11.42578125" style="139"/>
    <col min="6402" max="6402" width="14.85546875" style="139" customWidth="1"/>
    <col min="6403" max="6657" width="11.42578125" style="139"/>
    <col min="6658" max="6658" width="14.85546875" style="139" customWidth="1"/>
    <col min="6659" max="6913" width="11.42578125" style="139"/>
    <col min="6914" max="6914" width="14.85546875" style="139" customWidth="1"/>
    <col min="6915" max="7169" width="11.42578125" style="139"/>
    <col min="7170" max="7170" width="14.85546875" style="139" customWidth="1"/>
    <col min="7171" max="7425" width="11.42578125" style="139"/>
    <col min="7426" max="7426" width="14.85546875" style="139" customWidth="1"/>
    <col min="7427" max="7681" width="11.42578125" style="139"/>
    <col min="7682" max="7682" width="14.85546875" style="139" customWidth="1"/>
    <col min="7683" max="7937" width="11.42578125" style="139"/>
    <col min="7938" max="7938" width="14.85546875" style="139" customWidth="1"/>
    <col min="7939" max="8193" width="11.42578125" style="139"/>
    <col min="8194" max="8194" width="14.85546875" style="139" customWidth="1"/>
    <col min="8195" max="8449" width="11.42578125" style="139"/>
    <col min="8450" max="8450" width="14.85546875" style="139" customWidth="1"/>
    <col min="8451" max="8705" width="11.42578125" style="139"/>
    <col min="8706" max="8706" width="14.85546875" style="139" customWidth="1"/>
    <col min="8707" max="8961" width="11.42578125" style="139"/>
    <col min="8962" max="8962" width="14.85546875" style="139" customWidth="1"/>
    <col min="8963" max="9217" width="11.42578125" style="139"/>
    <col min="9218" max="9218" width="14.85546875" style="139" customWidth="1"/>
    <col min="9219" max="9473" width="11.42578125" style="139"/>
    <col min="9474" max="9474" width="14.85546875" style="139" customWidth="1"/>
    <col min="9475" max="9729" width="11.42578125" style="139"/>
    <col min="9730" max="9730" width="14.85546875" style="139" customWidth="1"/>
    <col min="9731" max="9985" width="11.42578125" style="139"/>
    <col min="9986" max="9986" width="14.85546875" style="139" customWidth="1"/>
    <col min="9987" max="10241" width="11.42578125" style="139"/>
    <col min="10242" max="10242" width="14.85546875" style="139" customWidth="1"/>
    <col min="10243" max="10497" width="11.42578125" style="139"/>
    <col min="10498" max="10498" width="14.85546875" style="139" customWidth="1"/>
    <col min="10499" max="10753" width="11.42578125" style="139"/>
    <col min="10754" max="10754" width="14.85546875" style="139" customWidth="1"/>
    <col min="10755" max="11009" width="11.42578125" style="139"/>
    <col min="11010" max="11010" width="14.85546875" style="139" customWidth="1"/>
    <col min="11011" max="11265" width="11.42578125" style="139"/>
    <col min="11266" max="11266" width="14.85546875" style="139" customWidth="1"/>
    <col min="11267" max="11521" width="11.42578125" style="139"/>
    <col min="11522" max="11522" width="14.85546875" style="139" customWidth="1"/>
    <col min="11523" max="11777" width="11.42578125" style="139"/>
    <col min="11778" max="11778" width="14.85546875" style="139" customWidth="1"/>
    <col min="11779" max="12033" width="11.42578125" style="139"/>
    <col min="12034" max="12034" width="14.85546875" style="139" customWidth="1"/>
    <col min="12035" max="12289" width="11.42578125" style="139"/>
    <col min="12290" max="12290" width="14.85546875" style="139" customWidth="1"/>
    <col min="12291" max="12545" width="11.42578125" style="139"/>
    <col min="12546" max="12546" width="14.85546875" style="139" customWidth="1"/>
    <col min="12547" max="12801" width="11.42578125" style="139"/>
    <col min="12802" max="12802" width="14.85546875" style="139" customWidth="1"/>
    <col min="12803" max="13057" width="11.42578125" style="139"/>
    <col min="13058" max="13058" width="14.85546875" style="139" customWidth="1"/>
    <col min="13059" max="13313" width="11.42578125" style="139"/>
    <col min="13314" max="13314" width="14.85546875" style="139" customWidth="1"/>
    <col min="13315" max="13569" width="11.42578125" style="139"/>
    <col min="13570" max="13570" width="14.85546875" style="139" customWidth="1"/>
    <col min="13571" max="13825" width="11.42578125" style="139"/>
    <col min="13826" max="13826" width="14.85546875" style="139" customWidth="1"/>
    <col min="13827" max="14081" width="11.42578125" style="139"/>
    <col min="14082" max="14082" width="14.85546875" style="139" customWidth="1"/>
    <col min="14083" max="14337" width="11.42578125" style="139"/>
    <col min="14338" max="14338" width="14.85546875" style="139" customWidth="1"/>
    <col min="14339" max="14593" width="11.42578125" style="139"/>
    <col min="14594" max="14594" width="14.85546875" style="139" customWidth="1"/>
    <col min="14595" max="14849" width="11.42578125" style="139"/>
    <col min="14850" max="14850" width="14.85546875" style="139" customWidth="1"/>
    <col min="14851" max="15105" width="11.42578125" style="139"/>
    <col min="15106" max="15106" width="14.85546875" style="139" customWidth="1"/>
    <col min="15107" max="15361" width="11.42578125" style="139"/>
    <col min="15362" max="15362" width="14.85546875" style="139" customWidth="1"/>
    <col min="15363" max="15617" width="11.42578125" style="139"/>
    <col min="15618" max="15618" width="14.85546875" style="139" customWidth="1"/>
    <col min="15619" max="15873" width="11.42578125" style="139"/>
    <col min="15874" max="15874" width="14.85546875" style="139" customWidth="1"/>
    <col min="15875" max="16129" width="11.42578125" style="139"/>
    <col min="16130" max="16130" width="14.85546875" style="139" customWidth="1"/>
    <col min="16131" max="16384" width="11.42578125" style="139"/>
  </cols>
  <sheetData>
    <row r="1" spans="1:15" ht="24.75" customHeight="1" thickTop="1" thickBot="1" x14ac:dyDescent="0.3">
      <c r="A1" s="300" t="s">
        <v>163</v>
      </c>
      <c r="B1" s="301"/>
      <c r="C1" s="301"/>
      <c r="D1" s="301"/>
      <c r="E1" s="301"/>
      <c r="F1" s="301"/>
      <c r="G1" s="301"/>
      <c r="H1" s="301"/>
      <c r="I1" s="301"/>
      <c r="J1" s="301"/>
      <c r="K1" s="301"/>
      <c r="L1" s="301"/>
      <c r="M1" s="301"/>
      <c r="N1" s="301"/>
      <c r="O1" s="302"/>
    </row>
    <row r="2" spans="1:15" ht="105.75" thickBot="1" x14ac:dyDescent="0.3">
      <c r="A2" s="188" t="s">
        <v>164</v>
      </c>
      <c r="B2" s="181" t="s">
        <v>188</v>
      </c>
      <c r="C2" s="182" t="s">
        <v>186</v>
      </c>
      <c r="D2" s="183" t="s">
        <v>165</v>
      </c>
      <c r="E2" s="183" t="s">
        <v>166</v>
      </c>
      <c r="F2" s="183" t="s">
        <v>167</v>
      </c>
      <c r="G2" s="184" t="s">
        <v>168</v>
      </c>
      <c r="H2" s="182" t="s">
        <v>187</v>
      </c>
      <c r="I2" s="183" t="s">
        <v>169</v>
      </c>
      <c r="J2" s="183" t="s">
        <v>170</v>
      </c>
      <c r="K2" s="183" t="s">
        <v>171</v>
      </c>
      <c r="L2" s="183" t="s">
        <v>172</v>
      </c>
      <c r="M2" s="182" t="s">
        <v>173</v>
      </c>
      <c r="N2" s="183" t="s">
        <v>174</v>
      </c>
      <c r="O2" s="185" t="s">
        <v>175</v>
      </c>
    </row>
    <row r="3" spans="1:15" x14ac:dyDescent="0.25">
      <c r="A3" s="180">
        <v>2012</v>
      </c>
      <c r="B3" s="253">
        <f>Calculs_prélim_Rev_cap_CSG!F4</f>
        <v>115.4390243902439</v>
      </c>
      <c r="C3" s="201">
        <f>Calculs_prélim_Rev_cap_CSG!G4</f>
        <v>50.536585365853661</v>
      </c>
      <c r="D3" s="202">
        <f>Calculs_prélim_Rev_cap_CSG!Q4</f>
        <v>28.766180197346891</v>
      </c>
      <c r="E3" s="202">
        <f>'[4]calculs calage'!$E56</f>
        <v>19.749272165141253</v>
      </c>
      <c r="F3" s="202">
        <f>'[4]calculs calage'!$B80</f>
        <v>18.471944267494589</v>
      </c>
      <c r="G3" s="248">
        <f>C3-D3-E3-F3</f>
        <v>-16.450811264129072</v>
      </c>
      <c r="H3" s="201">
        <f>Calculs_prélim_Rev_cap_CSG!H4</f>
        <v>64.902439024390247</v>
      </c>
      <c r="I3" s="202">
        <f>'[4]calculs calage'!$N56</f>
        <v>5.45</v>
      </c>
      <c r="J3" s="202">
        <f>H3-I3-K3-L3</f>
        <v>50.316829640449747</v>
      </c>
      <c r="K3" s="203">
        <f t="shared" ref="K3:K7" si="0">H3*$K$9/$H$9</f>
        <v>6.0904062559603283</v>
      </c>
      <c r="L3" s="204">
        <f t="shared" ref="L3:L7" si="1">H3*$L$9/$H$9</f>
        <v>3.0452031279801641</v>
      </c>
      <c r="M3" s="258">
        <f>M4*[3]CN15!$J5/[3]CN15!$J6</f>
        <v>5.1748933215261408</v>
      </c>
      <c r="N3" s="203">
        <f t="shared" ref="N3:N7" si="2">K3*$N$9/$K$9</f>
        <v>8.1205416746137704</v>
      </c>
      <c r="O3" s="204">
        <f t="shared" ref="O3:O7" si="3">L3*$O$9/$L$9</f>
        <v>4.0602708373068852</v>
      </c>
    </row>
    <row r="4" spans="1:15" x14ac:dyDescent="0.25">
      <c r="A4" s="180">
        <f>A3-1</f>
        <v>2011</v>
      </c>
      <c r="B4" s="254">
        <f>Calculs_prélim_Rev_cap_CSG!F5</f>
        <v>111.01219512195121</v>
      </c>
      <c r="C4" s="175">
        <f>Calculs_prélim_Rev_cap_CSG!G5</f>
        <v>48.024390243902438</v>
      </c>
      <c r="D4" s="176">
        <f>Calculs_prélim_Rev_cap_CSG!Q5</f>
        <v>27.928330288686293</v>
      </c>
      <c r="E4" s="176">
        <f>'[4]calculs calage'!$E57</f>
        <v>18.458542389276499</v>
      </c>
      <c r="F4" s="176">
        <f>'[4]calculs calage'!$B81</f>
        <v>17.933926473295713</v>
      </c>
      <c r="G4" s="249">
        <f t="shared" ref="G4:G18" si="4">C4-D4-E4-F4</f>
        <v>-16.296408907356067</v>
      </c>
      <c r="H4" s="175">
        <f>Calculs_prélim_Rev_cap_CSG!H5</f>
        <v>62.987804878048777</v>
      </c>
      <c r="I4" s="176">
        <f>'[4]calculs calage'!$N57</f>
        <v>5.45</v>
      </c>
      <c r="J4" s="176">
        <f t="shared" ref="J4:J18" si="5">H4-I4-K4-L4</f>
        <v>48.67169768750901</v>
      </c>
      <c r="K4" s="177">
        <f t="shared" si="0"/>
        <v>5.9107381270265114</v>
      </c>
      <c r="L4" s="205">
        <f t="shared" si="1"/>
        <v>2.9553690635132557</v>
      </c>
      <c r="M4" s="178">
        <f>M5*[3]CN15!$J6/[3]CN15!$J7</f>
        <v>4.8366839515217599</v>
      </c>
      <c r="N4" s="177">
        <f t="shared" si="2"/>
        <v>7.8809841693686815</v>
      </c>
      <c r="O4" s="205">
        <f t="shared" si="3"/>
        <v>3.9404920846843408</v>
      </c>
    </row>
    <row r="5" spans="1:15" x14ac:dyDescent="0.25">
      <c r="A5" s="180">
        <f t="shared" ref="A5:A18" si="6">A4-1</f>
        <v>2010</v>
      </c>
      <c r="B5" s="254">
        <f>Calculs_prélim_Rev_cap_CSG!F6</f>
        <v>107.0609756097561</v>
      </c>
      <c r="C5" s="175">
        <f>Calculs_prélim_Rev_cap_CSG!G6</f>
        <v>45.890243902439025</v>
      </c>
      <c r="D5" s="176">
        <f>Calculs_prélim_Rev_cap_CSG!Q6</f>
        <v>28.811098692526635</v>
      </c>
      <c r="E5" s="176">
        <f>'[4]calculs calage'!$E58</f>
        <v>17.50684766298281</v>
      </c>
      <c r="F5" s="176">
        <f>'[4]calculs calage'!$B82</f>
        <v>17.411579100287099</v>
      </c>
      <c r="G5" s="249">
        <f t="shared" si="4"/>
        <v>-17.83928155335752</v>
      </c>
      <c r="H5" s="175">
        <f>Calculs_prélim_Rev_cap_CSG!H6</f>
        <v>61.170731707317074</v>
      </c>
      <c r="I5" s="176">
        <f>'[4]calculs calage'!$N58</f>
        <v>5.4509999999999996</v>
      </c>
      <c r="J5" s="176">
        <f t="shared" si="5"/>
        <v>47.109394114335956</v>
      </c>
      <c r="K5" s="177">
        <f t="shared" si="0"/>
        <v>5.7402250619874113</v>
      </c>
      <c r="L5" s="205">
        <f t="shared" si="1"/>
        <v>2.8701125309937057</v>
      </c>
      <c r="M5" s="178">
        <f>M6*[3]CN15!$J7/[3]CN15!$J8</f>
        <v>4.5873117902569192</v>
      </c>
      <c r="N5" s="177">
        <f t="shared" si="2"/>
        <v>7.6536334159832151</v>
      </c>
      <c r="O5" s="205">
        <f t="shared" si="3"/>
        <v>3.8268167079916076</v>
      </c>
    </row>
    <row r="6" spans="1:15" x14ac:dyDescent="0.25">
      <c r="A6" s="180">
        <f t="shared" si="6"/>
        <v>2009</v>
      </c>
      <c r="B6" s="254">
        <f>Calculs_prélim_Rev_cap_CSG!F7</f>
        <v>109.03658536585365</v>
      </c>
      <c r="C6" s="175">
        <f>Calculs_prélim_Rev_cap_CSG!G7</f>
        <v>49.999999999999993</v>
      </c>
      <c r="D6" s="176">
        <f>Calculs_prélim_Rev_cap_CSG!Q7</f>
        <v>29.721769947943265</v>
      </c>
      <c r="E6" s="176">
        <f>'[4]calculs calage'!$E59</f>
        <v>18.652911457347919</v>
      </c>
      <c r="F6" s="176">
        <f>'[4]calculs calage'!$B83</f>
        <v>16.227831842070543</v>
      </c>
      <c r="G6" s="249">
        <f t="shared" si="4"/>
        <v>-14.602513247361735</v>
      </c>
      <c r="H6" s="175">
        <f>Calculs_prélim_Rev_cap_CSG!H7</f>
        <v>59.036585365853661</v>
      </c>
      <c r="I6" s="176">
        <f>'[4]calculs calage'!$N59</f>
        <v>4.8849999999999998</v>
      </c>
      <c r="J6" s="176">
        <f t="shared" si="5"/>
        <v>45.841648306917939</v>
      </c>
      <c r="K6" s="177">
        <f t="shared" si="0"/>
        <v>5.5399580392904832</v>
      </c>
      <c r="L6" s="205">
        <f t="shared" si="1"/>
        <v>2.7699790196452416</v>
      </c>
      <c r="M6" s="178">
        <f>M7*[3]CN15!$J8/[3]CN15!$J9</f>
        <v>5.7280040515008084</v>
      </c>
      <c r="N6" s="177">
        <f t="shared" si="2"/>
        <v>7.3866107190539774</v>
      </c>
      <c r="O6" s="205">
        <f t="shared" si="3"/>
        <v>3.6933053595269887</v>
      </c>
    </row>
    <row r="7" spans="1:15" x14ac:dyDescent="0.25">
      <c r="A7" s="180">
        <f t="shared" si="6"/>
        <v>2008</v>
      </c>
      <c r="B7" s="254">
        <f>Calculs_prélim_Rev_cap_CSG!F8</f>
        <v>138.30487804878049</v>
      </c>
      <c r="C7" s="175">
        <f>Calculs_prélim_Rev_cap_CSG!G8</f>
        <v>71.390243902439025</v>
      </c>
      <c r="D7" s="176">
        <f>Calculs_prélim_Rev_cap_CSG!Q8</f>
        <v>30.661226018000001</v>
      </c>
      <c r="E7" s="176">
        <f>'[4]calculs calage'!$E60</f>
        <v>20.525850867999999</v>
      </c>
      <c r="F7" s="176">
        <f>'[4]calculs calage'!$B84</f>
        <v>13.874583831999999</v>
      </c>
      <c r="G7" s="249">
        <f t="shared" si="4"/>
        <v>6.3285831844390259</v>
      </c>
      <c r="H7" s="175">
        <f>Calculs_prélim_Rev_cap_CSG!H8</f>
        <v>66.914634146341456</v>
      </c>
      <c r="I7" s="176">
        <f>'[4]calculs calage'!$N60</f>
        <v>4.6660000000000004</v>
      </c>
      <c r="J7" s="176">
        <f t="shared" si="5"/>
        <v>52.829789973158171</v>
      </c>
      <c r="K7" s="177">
        <f t="shared" si="0"/>
        <v>6.2792294487888611</v>
      </c>
      <c r="L7" s="205">
        <f t="shared" si="1"/>
        <v>3.1396147243944306</v>
      </c>
      <c r="M7" s="178">
        <f>M8*[3]CN15!$J9/[3]CN15!$J10</f>
        <v>8.0898342390775042</v>
      </c>
      <c r="N7" s="177">
        <f t="shared" si="2"/>
        <v>8.3723059317184809</v>
      </c>
      <c r="O7" s="205">
        <f t="shared" si="3"/>
        <v>4.1861529658592405</v>
      </c>
    </row>
    <row r="8" spans="1:15" x14ac:dyDescent="0.25">
      <c r="A8" s="180">
        <f t="shared" si="6"/>
        <v>2007</v>
      </c>
      <c r="B8" s="254">
        <f>Calculs_prélim_Rev_cap_CSG!F9</f>
        <v>134.45121951219511</v>
      </c>
      <c r="C8" s="175">
        <f>Calculs_prélim_Rev_cap_CSG!G9</f>
        <v>67.926829268292678</v>
      </c>
      <c r="D8" s="176">
        <f>Calculs_prélim_Rev_cap_CSG!Q9</f>
        <v>30.008708845999998</v>
      </c>
      <c r="E8" s="176">
        <f>'[4]calculs calage'!$E61</f>
        <v>20.938167666000002</v>
      </c>
      <c r="F8" s="176">
        <f>'[4]calculs calage'!$B85</f>
        <v>22.099663337000003</v>
      </c>
      <c r="G8" s="249">
        <f t="shared" si="4"/>
        <v>-5.1197105807073235</v>
      </c>
      <c r="H8" s="175">
        <f>Calculs_prélim_Rev_cap_CSG!H9</f>
        <v>66.524390243902431</v>
      </c>
      <c r="I8" s="176">
        <f>'[4]calculs calage'!$N61</f>
        <v>5.335</v>
      </c>
      <c r="J8" s="176">
        <f t="shared" si="5"/>
        <v>51.825476454087436</v>
      </c>
      <c r="K8" s="177">
        <f>H8*$K$9/$H$9</f>
        <v>6.2426091932099945</v>
      </c>
      <c r="L8" s="205">
        <f>H8*$L$9/$H$9</f>
        <v>3.1213045966049973</v>
      </c>
      <c r="M8" s="178">
        <v>7</v>
      </c>
      <c r="N8" s="177">
        <f>K8*$N$9/$K$9</f>
        <v>8.3234789242799927</v>
      </c>
      <c r="O8" s="205">
        <f>L8*$O$9/$L$9</f>
        <v>4.1617394621399963</v>
      </c>
    </row>
    <row r="9" spans="1:15" x14ac:dyDescent="0.25">
      <c r="A9" s="180">
        <f t="shared" si="6"/>
        <v>2006</v>
      </c>
      <c r="B9" s="254">
        <f>Calculs_prélim_Rev_cap_CSG!F10</f>
        <v>119.42682926829268</v>
      </c>
      <c r="C9" s="175">
        <f>Calculs_prélim_Rev_cap_CSG!G10</f>
        <v>55.487804878048777</v>
      </c>
      <c r="D9" s="176">
        <f>Calculs_prélim_Rev_cap_CSG!Q10</f>
        <v>28.926283633000001</v>
      </c>
      <c r="E9" s="176">
        <f>'[4]calculs calage'!$E62</f>
        <v>18.955813830999997</v>
      </c>
      <c r="F9" s="176">
        <f>'[4]calculs calage'!$B86</f>
        <v>19.766762264</v>
      </c>
      <c r="G9" s="249">
        <f t="shared" si="4"/>
        <v>-12.161054849951221</v>
      </c>
      <c r="H9" s="175">
        <f>Calculs_prélim_Rev_cap_CSG!H10</f>
        <v>63.939024390243901</v>
      </c>
      <c r="I9" s="176">
        <f>'[4]calculs calage'!$N62</f>
        <v>3.6179999999999999</v>
      </c>
      <c r="J9" s="176">
        <f t="shared" si="5"/>
        <v>51.321024390243899</v>
      </c>
      <c r="K9" s="177">
        <v>6</v>
      </c>
      <c r="L9" s="205">
        <v>3</v>
      </c>
      <c r="M9" s="178">
        <v>6</v>
      </c>
      <c r="N9" s="177">
        <v>8</v>
      </c>
      <c r="O9" s="205">
        <v>4</v>
      </c>
    </row>
    <row r="10" spans="1:15" x14ac:dyDescent="0.25">
      <c r="A10" s="180">
        <f t="shared" si="6"/>
        <v>2005</v>
      </c>
      <c r="B10" s="254">
        <f>Calculs_prélim_Rev_cap_CSG!F11</f>
        <v>95.121951219512184</v>
      </c>
      <c r="C10" s="175">
        <f>Calculs_prélim_Rev_cap_CSG!G11</f>
        <v>44.076704462952094</v>
      </c>
      <c r="D10" s="176">
        <f>Calculs_prélim_Rev_cap_CSG!Q11</f>
        <v>23.763621587999999</v>
      </c>
      <c r="E10" s="176">
        <f>'[4]calculs calage'!$E63</f>
        <v>15.742381024</v>
      </c>
      <c r="F10" s="176">
        <f>'[4]calculs calage'!$B87</f>
        <v>15.014357385</v>
      </c>
      <c r="G10" s="249">
        <f t="shared" si="4"/>
        <v>-10.443655534047906</v>
      </c>
      <c r="H10" s="175">
        <f>Calculs_prélim_Rev_cap_CSG!H11</f>
        <v>51.045246756560097</v>
      </c>
      <c r="I10" s="176">
        <f>'[4]calculs calage'!$N63</f>
        <v>3.1760000000000002</v>
      </c>
      <c r="J10" s="176">
        <f t="shared" si="5"/>
        <v>40.700861175022261</v>
      </c>
      <c r="K10" s="177">
        <f>B10*$K$9/$B$9</f>
        <v>4.7789237210252216</v>
      </c>
      <c r="L10" s="205">
        <f>B10*$L$9/$B$9</f>
        <v>2.3894618605126108</v>
      </c>
      <c r="M10" s="178">
        <f>M9*[3]CN15!$J12/[3]CN15!$J11</f>
        <v>4.8873688924505627</v>
      </c>
      <c r="N10" s="177">
        <f>K10*$N$9/$K$9</f>
        <v>6.3718982947002951</v>
      </c>
      <c r="O10" s="205">
        <f>L10*$O$9/$L$9</f>
        <v>3.1859491473501476</v>
      </c>
    </row>
    <row r="11" spans="1:15" x14ac:dyDescent="0.25">
      <c r="A11" s="180">
        <f t="shared" si="6"/>
        <v>2004</v>
      </c>
      <c r="B11" s="254">
        <f>Calculs_prélim_Rev_cap_CSG!F12</f>
        <v>88.445859872611464</v>
      </c>
      <c r="C11" s="175">
        <f>Calculs_prélim_Rev_cap_CSG!G12</f>
        <v>40.983200792217325</v>
      </c>
      <c r="D11" s="176">
        <f>Calculs_prélim_Rev_cap_CSG!Q12</f>
        <v>22.884774264999997</v>
      </c>
      <c r="E11" s="176">
        <f>'[4]calculs calage'!$E64</f>
        <v>20.048257071999998</v>
      </c>
      <c r="F11" s="176">
        <f>'[4]calculs calage'!$B88</f>
        <v>12.996993185999999</v>
      </c>
      <c r="G11" s="249">
        <f t="shared" si="4"/>
        <v>-14.94682373078267</v>
      </c>
      <c r="H11" s="175">
        <f>Calculs_prélim_Rev_cap_CSG!H12</f>
        <v>47.462659080394147</v>
      </c>
      <c r="I11" s="176">
        <f>'[4]calculs calage'!$N64</f>
        <v>2.3769999999999998</v>
      </c>
      <c r="J11" s="176">
        <f t="shared" si="5"/>
        <v>38.42038341553279</v>
      </c>
      <c r="K11" s="177">
        <f t="shared" ref="K11:K18" si="7">B11*$K$9/$B$9</f>
        <v>4.443517109907571</v>
      </c>
      <c r="L11" s="205">
        <f t="shared" ref="L11:L18" si="8">B11*$L$9/$B$9</f>
        <v>2.2217585549537855</v>
      </c>
      <c r="M11" s="178">
        <f>M10*[3]CN15!$J13/[3]CN15!$J12</f>
        <v>5.558064440097108</v>
      </c>
      <c r="N11" s="177">
        <f t="shared" ref="N11:N18" si="9">K11*$N$9/$K$9</f>
        <v>5.9246894798767613</v>
      </c>
      <c r="O11" s="205">
        <f t="shared" ref="O11:O18" si="10">L11*$O$9/$L$9</f>
        <v>2.9623447399383807</v>
      </c>
    </row>
    <row r="12" spans="1:15" x14ac:dyDescent="0.25">
      <c r="A12" s="180">
        <f t="shared" si="6"/>
        <v>2003</v>
      </c>
      <c r="B12" s="254">
        <f>Calculs_prélim_Rev_cap_CSG!F13</f>
        <v>87.08</v>
      </c>
      <c r="C12" s="175">
        <f>Calculs_prélim_Rev_cap_CSG!G13</f>
        <v>40.350301643586825</v>
      </c>
      <c r="D12" s="176">
        <f>Calculs_prélim_Rev_cap_CSG!Q13</f>
        <v>22.085413303999999</v>
      </c>
      <c r="E12" s="176">
        <f>'[4]calculs calage'!$E65</f>
        <v>18.953389224000002</v>
      </c>
      <c r="F12" s="176">
        <f>'[4]calculs calage'!$B89</f>
        <v>10.821511413000001</v>
      </c>
      <c r="G12" s="249">
        <f t="shared" si="4"/>
        <v>-11.510012297413178</v>
      </c>
      <c r="H12" s="175">
        <f>Calculs_prélim_Rev_cap_CSG!H13</f>
        <v>46.729698356413181</v>
      </c>
      <c r="I12" s="176">
        <f>'[4]calculs calage'!$N65</f>
        <v>1.7</v>
      </c>
      <c r="J12" s="176">
        <f t="shared" si="5"/>
        <v>38.467353824604743</v>
      </c>
      <c r="K12" s="177">
        <f t="shared" si="7"/>
        <v>4.374896354538957</v>
      </c>
      <c r="L12" s="205">
        <f t="shared" si="8"/>
        <v>2.1874481772694785</v>
      </c>
      <c r="M12" s="178">
        <f>M11*[3]CN15!$J14/[3]CN15!$J13</f>
        <v>5.834949442571947</v>
      </c>
      <c r="N12" s="177">
        <f t="shared" si="9"/>
        <v>5.8331951393852757</v>
      </c>
      <c r="O12" s="205">
        <f t="shared" si="10"/>
        <v>2.9165975696926378</v>
      </c>
    </row>
    <row r="13" spans="1:15" x14ac:dyDescent="0.25">
      <c r="A13" s="180">
        <f t="shared" si="6"/>
        <v>2002</v>
      </c>
      <c r="B13" s="254">
        <f>Calculs_prélim_Rev_cap_CSG!F14</f>
        <v>86.813333333333333</v>
      </c>
      <c r="C13" s="175">
        <f>Calculs_prélim_Rev_cap_CSG!G14</f>
        <v>40.226736181502652</v>
      </c>
      <c r="D13" s="176">
        <f>Calculs_prélim_Rev_cap_CSG!Q14</f>
        <v>20.763013755399665</v>
      </c>
      <c r="E13" s="176">
        <f>'[4]calculs calage'!$E66</f>
        <v>16.986884016910412</v>
      </c>
      <c r="F13" s="176">
        <f>'[4]calculs calage'!$B90</f>
        <v>10.334047825419811</v>
      </c>
      <c r="G13" s="249">
        <f t="shared" si="4"/>
        <v>-7.8572094162272368</v>
      </c>
      <c r="H13" s="175">
        <f>Calculs_prélim_Rev_cap_CSG!H14</f>
        <v>46.586597151830688</v>
      </c>
      <c r="I13" s="176">
        <f>'[4]calculs calage'!$N66</f>
        <v>1.8</v>
      </c>
      <c r="J13" s="176">
        <f t="shared" si="5"/>
        <v>38.244348606951696</v>
      </c>
      <c r="K13" s="177">
        <f t="shared" si="7"/>
        <v>4.3614990299193304</v>
      </c>
      <c r="L13" s="205">
        <f t="shared" si="8"/>
        <v>2.1807495149596652</v>
      </c>
      <c r="M13" s="178">
        <f>M12*[3]CN15!$J15/[3]CN15!$J14</f>
        <v>6.3475239823697178</v>
      </c>
      <c r="N13" s="177">
        <f t="shared" si="9"/>
        <v>5.8153320398924402</v>
      </c>
      <c r="O13" s="205">
        <f t="shared" si="10"/>
        <v>2.9076660199462201</v>
      </c>
    </row>
    <row r="14" spans="1:15" x14ac:dyDescent="0.25">
      <c r="A14" s="180">
        <f t="shared" si="6"/>
        <v>2001</v>
      </c>
      <c r="B14" s="254">
        <f>Calculs_prélim_Rev_cap_CSG!F15</f>
        <v>94.72</v>
      </c>
      <c r="C14" s="175">
        <f>Calculs_prélim_Rev_cap_CSG!G15</f>
        <v>43.890452132298392</v>
      </c>
      <c r="D14" s="176">
        <f>Calculs_prélim_Rev_cap_CSG!Q15</f>
        <v>19.804343307887578</v>
      </c>
      <c r="E14" s="176">
        <f>'[4]calculs calage'!$E67</f>
        <v>13.75560777720284</v>
      </c>
      <c r="F14" s="176">
        <f>'[4]calculs calage'!$B91</f>
        <v>10.655192991423768</v>
      </c>
      <c r="G14" s="249">
        <f t="shared" si="4"/>
        <v>-0.32469194421579317</v>
      </c>
      <c r="H14" s="175">
        <f>Calculs_prélim_Rev_cap_CSG!H15</f>
        <v>50.829547867701613</v>
      </c>
      <c r="I14" s="176">
        <f>'[4]calculs calage'!$N67</f>
        <v>2.1</v>
      </c>
      <c r="J14" s="176">
        <f t="shared" si="5"/>
        <v>41.591453310364734</v>
      </c>
      <c r="K14" s="177">
        <f t="shared" si="7"/>
        <v>4.7587297048912482</v>
      </c>
      <c r="L14" s="205">
        <f t="shared" si="8"/>
        <v>2.3793648524456241</v>
      </c>
      <c r="M14" s="178">
        <f>M13*[3]CN15!$J16/[3]CN15!$J15</f>
        <v>7.3559714332854078</v>
      </c>
      <c r="N14" s="177">
        <f t="shared" si="9"/>
        <v>6.3449729398549977</v>
      </c>
      <c r="O14" s="205">
        <f t="shared" si="10"/>
        <v>3.1724864699274988</v>
      </c>
    </row>
    <row r="15" spans="1:15" x14ac:dyDescent="0.25">
      <c r="A15" s="180">
        <f t="shared" si="6"/>
        <v>2000</v>
      </c>
      <c r="B15" s="254">
        <f>Calculs_prélim_Rev_cap_CSG!F16</f>
        <v>90.720000000000013</v>
      </c>
      <c r="C15" s="175">
        <f>Calculs_prélim_Rev_cap_CSG!G16</f>
        <v>42.0369702010358</v>
      </c>
      <c r="D15" s="176">
        <f>Calculs_prélim_Rev_cap_CSG!Q16</f>
        <v>18.109201251592367</v>
      </c>
      <c r="E15" s="176">
        <f>'[4]calculs calage'!$E68</f>
        <v>14.959774607679211</v>
      </c>
      <c r="F15" s="176">
        <f>'[4]calculs calage'!$B92</f>
        <v>11.321151802769119</v>
      </c>
      <c r="G15" s="249">
        <f t="shared" si="4"/>
        <v>-2.3531574610048978</v>
      </c>
      <c r="H15" s="175">
        <f>Calculs_prélim_Rev_cap_CSG!H16</f>
        <v>48.68302979896422</v>
      </c>
      <c r="I15" s="176">
        <f>'[4]calculs calage'!$N68</f>
        <v>2.2000000000000002</v>
      </c>
      <c r="J15" s="176">
        <f t="shared" si="5"/>
        <v>39.646375045568931</v>
      </c>
      <c r="K15" s="177">
        <f t="shared" si="7"/>
        <v>4.5577698355968552</v>
      </c>
      <c r="L15" s="205">
        <f t="shared" si="8"/>
        <v>2.2788849177984276</v>
      </c>
      <c r="M15" s="178">
        <f>M14*[3]CN15!$J17/[3]CN15!$J16</f>
        <v>6.7155396327810113</v>
      </c>
      <c r="N15" s="177">
        <f t="shared" si="9"/>
        <v>6.0770264474624733</v>
      </c>
      <c r="O15" s="205">
        <f t="shared" si="10"/>
        <v>3.0385132237312367</v>
      </c>
    </row>
    <row r="16" spans="1:15" x14ac:dyDescent="0.25">
      <c r="A16" s="180">
        <f t="shared" si="6"/>
        <v>1999</v>
      </c>
      <c r="B16" s="254">
        <f>Calculs_prélim_Rev_cap_CSG!F17</f>
        <v>80.289815745036137</v>
      </c>
      <c r="C16" s="175">
        <f>Calculs_prélim_Rev_cap_CSG!G17</f>
        <v>37.203930686956994</v>
      </c>
      <c r="D16" s="176">
        <f>Calculs_prélim_Rev_cap_CSG!Q17</f>
        <v>16.015943524176713</v>
      </c>
      <c r="E16" s="176">
        <f>'[4]calculs calage'!$E69</f>
        <v>16.950560864889056</v>
      </c>
      <c r="F16" s="176">
        <f>'[4]calculs calage'!$B93</f>
        <v>11.197005993974868</v>
      </c>
      <c r="G16" s="249">
        <f t="shared" si="4"/>
        <v>-6.959579696083642</v>
      </c>
      <c r="H16" s="175">
        <f>Calculs_prélim_Rev_cap_CSG!H17</f>
        <v>43.08588505807915</v>
      </c>
      <c r="I16" s="176">
        <f>'[4]calculs calage'!$N69</f>
        <v>1.7</v>
      </c>
      <c r="J16" s="176">
        <f t="shared" si="5"/>
        <v>35.335248478906607</v>
      </c>
      <c r="K16" s="177">
        <f t="shared" si="7"/>
        <v>4.0337577194483591</v>
      </c>
      <c r="L16" s="205">
        <f t="shared" si="8"/>
        <v>2.0168788597241796</v>
      </c>
      <c r="M16" s="178">
        <f>M15*[3]CN15!$J18/[3]CN15!$J17</f>
        <v>5.7902892026304</v>
      </c>
      <c r="N16" s="177">
        <f t="shared" si="9"/>
        <v>5.3783436259311452</v>
      </c>
      <c r="O16" s="205">
        <f t="shared" si="10"/>
        <v>2.6891718129655726</v>
      </c>
    </row>
    <row r="17" spans="1:16" x14ac:dyDescent="0.25">
      <c r="A17" s="180">
        <f t="shared" si="6"/>
        <v>1998</v>
      </c>
      <c r="B17" s="254">
        <f>Calculs_prélim_Rev_cap_CSG!F18</f>
        <v>81.297904743096097</v>
      </c>
      <c r="C17" s="175">
        <f>Calculs_prélim_Rev_cap_CSG!G18</f>
        <v>37.671049372709184</v>
      </c>
      <c r="D17" s="176">
        <f>Calculs_prélim_Rev_cap_CSG!Q18</f>
        <v>15.405235779989544</v>
      </c>
      <c r="E17" s="176">
        <f>'[4]calculs calage'!$E70</f>
        <v>13.447459036796619</v>
      </c>
      <c r="F17" s="176">
        <f>'[4]calculs calage'!$B94</f>
        <v>10.142938240616381</v>
      </c>
      <c r="G17" s="249">
        <f t="shared" si="4"/>
        <v>-1.3245836846933621</v>
      </c>
      <c r="H17" s="175">
        <f>Calculs_prélim_Rev_cap_CSG!H18</f>
        <v>43.62685537038692</v>
      </c>
      <c r="I17" s="176">
        <f>'[4]calculs calage'!$N70</f>
        <v>1.7226738947827374</v>
      </c>
      <c r="J17" s="176">
        <f t="shared" si="5"/>
        <v>35.777575358948923</v>
      </c>
      <c r="K17" s="177">
        <f t="shared" si="7"/>
        <v>4.0844040777701709</v>
      </c>
      <c r="L17" s="205">
        <f t="shared" si="8"/>
        <v>2.0422020388850854</v>
      </c>
      <c r="M17" s="178">
        <f>M16*[3]CN15!$J19/[3]CN15!$J18</f>
        <v>7.0923939943903642</v>
      </c>
      <c r="N17" s="177">
        <f t="shared" si="9"/>
        <v>5.4458721036935609</v>
      </c>
      <c r="O17" s="205">
        <f t="shared" si="10"/>
        <v>2.7229360518467804</v>
      </c>
    </row>
    <row r="18" spans="1:16" ht="15.75" thickBot="1" x14ac:dyDescent="0.3">
      <c r="A18" s="180">
        <f t="shared" si="6"/>
        <v>1997</v>
      </c>
      <c r="B18" s="255">
        <f>Calculs_prélim_Rev_cap_CSG!F19</f>
        <v>78.318052115138144</v>
      </c>
      <c r="C18" s="250">
        <f>Calculs_prélim_Rev_cap_CSG!G19</f>
        <v>36.290273621772826</v>
      </c>
      <c r="D18" s="251">
        <f>Calculs_prélim_Rev_cap_CSG!Q19</f>
        <v>13.80800181857169</v>
      </c>
      <c r="E18" s="251">
        <f>'[4]calculs calage'!$E71</f>
        <v>13.715314479607656</v>
      </c>
      <c r="F18" s="251">
        <f>'[4]calculs calage'!$B95</f>
        <v>9.0016466678456055</v>
      </c>
      <c r="G18" s="252">
        <f t="shared" si="4"/>
        <v>-0.23468934425212495</v>
      </c>
      <c r="H18" s="250">
        <f>Calculs_prélim_Rev_cap_CSG!H19</f>
        <v>42.027778493365332</v>
      </c>
      <c r="I18" s="251">
        <f>'[4]calculs calage'!$N71</f>
        <v>2.0321453997746803</v>
      </c>
      <c r="J18" s="251">
        <f t="shared" si="5"/>
        <v>34.093588524922019</v>
      </c>
      <c r="K18" s="256">
        <f t="shared" si="7"/>
        <v>3.9346963791124243</v>
      </c>
      <c r="L18" s="257">
        <f t="shared" si="8"/>
        <v>1.9673481895562122</v>
      </c>
      <c r="M18" s="259">
        <f>M17*[3]CN15!$J20/[3]CN15!$J19</f>
        <v>7.3716265585594076</v>
      </c>
      <c r="N18" s="256">
        <f t="shared" si="9"/>
        <v>5.246261838816566</v>
      </c>
      <c r="O18" s="257">
        <f t="shared" si="10"/>
        <v>2.623130919408283</v>
      </c>
    </row>
    <row r="20" spans="1:16" ht="112.5" customHeight="1" x14ac:dyDescent="0.25">
      <c r="B20" s="290" t="s">
        <v>235</v>
      </c>
      <c r="C20" s="290"/>
      <c r="D20" s="290"/>
      <c r="E20" s="290"/>
      <c r="F20" s="290"/>
      <c r="G20" s="290"/>
      <c r="H20" s="290"/>
      <c r="I20" s="290"/>
      <c r="J20" s="290"/>
      <c r="K20" s="290"/>
      <c r="L20" s="290"/>
      <c r="M20" s="290"/>
      <c r="N20" s="290"/>
      <c r="O20" s="290"/>
      <c r="P20" s="186"/>
    </row>
    <row r="21" spans="1:16" ht="27.75" customHeight="1" x14ac:dyDescent="0.25">
      <c r="B21" s="290" t="s">
        <v>189</v>
      </c>
      <c r="C21" s="290"/>
      <c r="D21" s="290"/>
      <c r="E21" s="290"/>
      <c r="F21" s="290"/>
      <c r="G21" s="290"/>
      <c r="H21" s="290"/>
      <c r="I21" s="290"/>
      <c r="J21" s="290"/>
      <c r="K21" s="290"/>
      <c r="L21" s="290"/>
      <c r="M21" s="290"/>
      <c r="N21" s="290"/>
      <c r="O21" s="290"/>
      <c r="P21" s="186"/>
    </row>
    <row r="22" spans="1:16" ht="29.25" customHeight="1" x14ac:dyDescent="0.25">
      <c r="B22" s="290" t="s">
        <v>190</v>
      </c>
      <c r="C22" s="290"/>
      <c r="D22" s="290"/>
      <c r="E22" s="290"/>
      <c r="F22" s="290"/>
      <c r="G22" s="290"/>
      <c r="H22" s="290"/>
      <c r="I22" s="290"/>
      <c r="J22" s="290"/>
      <c r="K22" s="290"/>
      <c r="L22" s="290"/>
      <c r="M22" s="290"/>
      <c r="N22" s="290"/>
      <c r="O22" s="290"/>
      <c r="P22" s="186"/>
    </row>
    <row r="23" spans="1:16" ht="33.75" customHeight="1" x14ac:dyDescent="0.25">
      <c r="B23" s="299" t="s">
        <v>234</v>
      </c>
      <c r="C23" s="299"/>
      <c r="D23" s="299"/>
      <c r="E23" s="299"/>
      <c r="F23" s="299"/>
      <c r="G23" s="299"/>
      <c r="H23" s="299"/>
      <c r="I23" s="299"/>
      <c r="J23" s="299"/>
      <c r="K23" s="299"/>
      <c r="L23" s="299"/>
      <c r="M23" s="299"/>
      <c r="N23" s="299"/>
      <c r="O23" s="299"/>
      <c r="P23" s="187"/>
    </row>
    <row r="24" spans="1:16" ht="15" customHeight="1" x14ac:dyDescent="0.25">
      <c r="B24" s="299" t="s">
        <v>191</v>
      </c>
      <c r="C24" s="299"/>
      <c r="D24" s="299"/>
      <c r="E24" s="299"/>
      <c r="F24" s="299"/>
      <c r="G24" s="299"/>
      <c r="H24" s="299"/>
      <c r="I24" s="299"/>
      <c r="J24" s="299"/>
      <c r="K24" s="299"/>
      <c r="L24" s="299"/>
      <c r="M24" s="299"/>
      <c r="N24" s="299"/>
      <c r="O24" s="299"/>
      <c r="P24" s="187"/>
    </row>
    <row r="29" spans="1:16" x14ac:dyDescent="0.25">
      <c r="J29" s="179"/>
      <c r="K29" s="158"/>
    </row>
    <row r="30" spans="1:16" x14ac:dyDescent="0.25">
      <c r="J30" s="179"/>
      <c r="K30" s="158"/>
    </row>
  </sheetData>
  <mergeCells count="6">
    <mergeCell ref="B24:O24"/>
    <mergeCell ref="A1:O1"/>
    <mergeCell ref="B20:O20"/>
    <mergeCell ref="B21:O21"/>
    <mergeCell ref="B22:O22"/>
    <mergeCell ref="B23:O2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pane xSplit="1" ySplit="2" topLeftCell="B3" activePane="bottomRight" state="frozen"/>
      <selection pane="topRight" activeCell="B1" sqref="B1"/>
      <selection pane="bottomLeft" activeCell="A3" sqref="A3"/>
      <selection pane="bottomRight" activeCell="I18" sqref="I18"/>
    </sheetView>
  </sheetViews>
  <sheetFormatPr baseColWidth="10" defaultRowHeight="15" x14ac:dyDescent="0.25"/>
  <cols>
    <col min="4" max="4" width="11.85546875" bestFit="1" customWidth="1"/>
    <col min="8" max="8" width="12.42578125" customWidth="1"/>
    <col min="9" max="9" width="17.140625" customWidth="1"/>
    <col min="10" max="10" width="12.5703125" customWidth="1"/>
    <col min="11" max="11" width="11.42578125" customWidth="1"/>
    <col min="12" max="12" width="13.5703125" customWidth="1"/>
    <col min="13" max="13" width="12.140625" customWidth="1"/>
    <col min="14" max="14" width="15.5703125" customWidth="1"/>
    <col min="15" max="15" width="61" customWidth="1"/>
    <col min="16" max="16" width="12" bestFit="1" customWidth="1"/>
  </cols>
  <sheetData>
    <row r="1" spans="1:15" x14ac:dyDescent="0.25">
      <c r="A1" s="126"/>
      <c r="B1" s="126"/>
      <c r="C1" s="126"/>
      <c r="D1" s="126"/>
      <c r="E1" s="126"/>
      <c r="F1" s="126"/>
      <c r="G1" s="126"/>
      <c r="H1" s="126"/>
      <c r="I1" s="126"/>
      <c r="J1" s="303" t="s">
        <v>139</v>
      </c>
      <c r="K1" s="303"/>
      <c r="L1" s="303"/>
      <c r="M1" s="303"/>
      <c r="N1" s="303"/>
      <c r="O1" s="126"/>
    </row>
    <row r="2" spans="1:15" ht="45" x14ac:dyDescent="0.25">
      <c r="A2" s="124" t="s">
        <v>14</v>
      </c>
      <c r="B2" s="134" t="s">
        <v>136</v>
      </c>
      <c r="C2" s="124" t="s">
        <v>134</v>
      </c>
      <c r="D2" s="216" t="s">
        <v>203</v>
      </c>
      <c r="E2" s="124" t="s">
        <v>137</v>
      </c>
      <c r="F2" s="124" t="s">
        <v>204</v>
      </c>
      <c r="G2" s="124" t="s">
        <v>133</v>
      </c>
      <c r="H2" s="216" t="s">
        <v>200</v>
      </c>
      <c r="I2" s="216" t="s">
        <v>202</v>
      </c>
      <c r="J2" s="135" t="s">
        <v>141</v>
      </c>
      <c r="K2" s="135" t="s">
        <v>143</v>
      </c>
      <c r="L2" s="135" t="s">
        <v>142</v>
      </c>
      <c r="M2" s="135" t="s">
        <v>144</v>
      </c>
      <c r="N2" s="135" t="s">
        <v>140</v>
      </c>
      <c r="O2" s="135" t="s">
        <v>12</v>
      </c>
    </row>
    <row r="3" spans="1:15" x14ac:dyDescent="0.25">
      <c r="A3" s="5">
        <v>2012</v>
      </c>
      <c r="C3" s="137">
        <v>26</v>
      </c>
      <c r="E3" s="137"/>
      <c r="F3" s="137"/>
      <c r="G3" s="137">
        <f>H3-C3</f>
        <v>20078</v>
      </c>
      <c r="H3" s="138">
        <v>20104</v>
      </c>
      <c r="I3" s="219">
        <f>H3/1000</f>
        <v>20.103999999999999</v>
      </c>
      <c r="J3" s="138">
        <v>573</v>
      </c>
      <c r="K3" s="138">
        <v>59</v>
      </c>
      <c r="L3" s="138">
        <v>2701</v>
      </c>
      <c r="M3" s="138">
        <v>129</v>
      </c>
      <c r="N3" s="136">
        <f t="shared" ref="N3:N4" si="0">SUM(J3:M3)</f>
        <v>3462</v>
      </c>
      <c r="O3" t="s">
        <v>131</v>
      </c>
    </row>
    <row r="4" spans="1:15" x14ac:dyDescent="0.25">
      <c r="A4" s="5">
        <v>2011</v>
      </c>
      <c r="C4" s="137">
        <v>26</v>
      </c>
      <c r="E4" s="137"/>
      <c r="F4" s="137"/>
      <c r="G4" s="137">
        <f>H4-C4</f>
        <v>21355</v>
      </c>
      <c r="H4" s="136">
        <v>21381</v>
      </c>
      <c r="I4" s="219">
        <f t="shared" ref="I4:I15" si="1">H4/1000</f>
        <v>21.381</v>
      </c>
      <c r="J4" s="136">
        <v>561</v>
      </c>
      <c r="K4" s="136">
        <v>59</v>
      </c>
      <c r="L4" s="136">
        <v>2613</v>
      </c>
      <c r="M4" s="136">
        <v>128</v>
      </c>
      <c r="N4" s="136">
        <f t="shared" si="0"/>
        <v>3361</v>
      </c>
      <c r="O4" t="s">
        <v>131</v>
      </c>
    </row>
    <row r="5" spans="1:15" x14ac:dyDescent="0.25">
      <c r="A5" s="5">
        <v>2010</v>
      </c>
      <c r="C5" s="137">
        <v>30</v>
      </c>
      <c r="E5" s="137"/>
      <c r="F5" s="137"/>
      <c r="G5" s="137">
        <f>H5-C5</f>
        <v>21930</v>
      </c>
      <c r="H5" s="136">
        <v>21960</v>
      </c>
      <c r="I5" s="219">
        <f t="shared" si="1"/>
        <v>21.96</v>
      </c>
      <c r="J5" s="136">
        <v>554</v>
      </c>
      <c r="K5" s="136">
        <v>76</v>
      </c>
      <c r="L5" s="136">
        <v>2436</v>
      </c>
      <c r="M5" s="136">
        <v>123</v>
      </c>
      <c r="N5" s="136">
        <f>SUM(J5:M5)</f>
        <v>3189</v>
      </c>
      <c r="O5" t="s">
        <v>131</v>
      </c>
    </row>
    <row r="6" spans="1:15" x14ac:dyDescent="0.25">
      <c r="A6" s="5">
        <v>2009</v>
      </c>
      <c r="C6" s="137">
        <v>25</v>
      </c>
      <c r="E6" s="137"/>
      <c r="F6" s="137"/>
      <c r="G6" s="137">
        <v>22229</v>
      </c>
      <c r="H6" s="218">
        <f t="shared" ref="H6:H15" si="2">SUM(B6:G6)</f>
        <v>22254</v>
      </c>
      <c r="I6" s="219">
        <f t="shared" si="1"/>
        <v>22.254000000000001</v>
      </c>
      <c r="J6" s="14"/>
      <c r="K6" s="14"/>
      <c r="L6" s="14"/>
      <c r="M6" s="14"/>
      <c r="N6" s="14">
        <v>3069</v>
      </c>
      <c r="O6" t="s">
        <v>132</v>
      </c>
    </row>
    <row r="7" spans="1:15" x14ac:dyDescent="0.25">
      <c r="A7" s="5">
        <v>2008</v>
      </c>
      <c r="C7" s="137">
        <v>26</v>
      </c>
      <c r="E7" s="137"/>
      <c r="F7" s="137"/>
      <c r="G7" s="137">
        <v>22608</v>
      </c>
      <c r="H7" s="218">
        <f t="shared" si="2"/>
        <v>22634</v>
      </c>
      <c r="I7" s="219">
        <f t="shared" si="1"/>
        <v>22.634</v>
      </c>
      <c r="J7" s="14"/>
      <c r="K7" s="14"/>
      <c r="L7" s="14"/>
      <c r="M7" s="14"/>
      <c r="N7" s="14">
        <v>2954</v>
      </c>
      <c r="O7" t="s">
        <v>135</v>
      </c>
    </row>
    <row r="8" spans="1:15" x14ac:dyDescent="0.25">
      <c r="A8" s="5">
        <v>2007</v>
      </c>
      <c r="B8" s="137">
        <v>1</v>
      </c>
      <c r="C8" s="137">
        <v>26</v>
      </c>
      <c r="E8" s="137">
        <v>2.6</v>
      </c>
      <c r="F8" s="137"/>
      <c r="G8" s="137">
        <v>21433</v>
      </c>
      <c r="H8" s="218">
        <f t="shared" si="2"/>
        <v>21462.6</v>
      </c>
      <c r="I8" s="219">
        <f t="shared" si="1"/>
        <v>21.462599999999998</v>
      </c>
      <c r="J8" s="14"/>
      <c r="K8" s="14"/>
      <c r="L8" s="14"/>
      <c r="M8" s="14"/>
      <c r="N8" s="14">
        <v>263</v>
      </c>
      <c r="O8" t="s">
        <v>138</v>
      </c>
    </row>
    <row r="9" spans="1:15" x14ac:dyDescent="0.25">
      <c r="A9" s="5">
        <v>2006</v>
      </c>
      <c r="B9" s="137">
        <v>8</v>
      </c>
      <c r="C9" s="137">
        <v>26</v>
      </c>
      <c r="E9" s="137">
        <v>35</v>
      </c>
      <c r="F9" s="137"/>
      <c r="G9" s="137">
        <v>19422</v>
      </c>
      <c r="H9" s="218">
        <f t="shared" si="2"/>
        <v>19491</v>
      </c>
      <c r="I9" s="219">
        <f t="shared" si="1"/>
        <v>19.491</v>
      </c>
      <c r="J9" s="14"/>
      <c r="K9" s="14"/>
      <c r="L9" s="14"/>
      <c r="M9" s="14"/>
      <c r="N9" s="14"/>
      <c r="O9" t="s">
        <v>145</v>
      </c>
    </row>
    <row r="10" spans="1:15" x14ac:dyDescent="0.25">
      <c r="A10" s="5">
        <v>2005</v>
      </c>
      <c r="B10" s="137">
        <v>87</v>
      </c>
      <c r="C10" s="137">
        <v>30</v>
      </c>
      <c r="E10" s="137">
        <v>175</v>
      </c>
      <c r="F10" s="137"/>
      <c r="G10" s="137">
        <v>17147</v>
      </c>
      <c r="H10" s="218">
        <f t="shared" si="2"/>
        <v>17439</v>
      </c>
      <c r="I10" s="219">
        <f t="shared" si="1"/>
        <v>17.439</v>
      </c>
      <c r="J10" s="14"/>
      <c r="K10" s="14"/>
      <c r="L10" s="14"/>
      <c r="M10" s="14"/>
      <c r="N10" s="14"/>
      <c r="O10" t="s">
        <v>199</v>
      </c>
    </row>
    <row r="11" spans="1:15" x14ac:dyDescent="0.25">
      <c r="A11" s="5">
        <v>2004</v>
      </c>
      <c r="B11" s="137">
        <v>445</v>
      </c>
      <c r="C11" s="137">
        <v>24</v>
      </c>
      <c r="E11" s="137">
        <v>930</v>
      </c>
      <c r="F11" s="137"/>
      <c r="G11" s="137">
        <v>15206</v>
      </c>
      <c r="H11" s="218">
        <f t="shared" si="2"/>
        <v>16605</v>
      </c>
      <c r="I11" s="219">
        <f t="shared" si="1"/>
        <v>16.605</v>
      </c>
      <c r="J11" s="14"/>
      <c r="K11" s="14"/>
      <c r="L11" s="14"/>
      <c r="M11" s="14"/>
      <c r="N11" s="14"/>
      <c r="O11" t="s">
        <v>198</v>
      </c>
    </row>
    <row r="12" spans="1:15" x14ac:dyDescent="0.25">
      <c r="A12" s="5">
        <v>2003</v>
      </c>
      <c r="B12" s="137">
        <v>468</v>
      </c>
      <c r="C12" s="137">
        <v>111</v>
      </c>
      <c r="D12" s="137">
        <v>1882</v>
      </c>
      <c r="E12" s="137">
        <v>1851</v>
      </c>
      <c r="F12" s="137">
        <v>4065</v>
      </c>
      <c r="G12" s="137">
        <v>6859</v>
      </c>
      <c r="H12" s="218">
        <f t="shared" si="2"/>
        <v>15236</v>
      </c>
      <c r="I12" s="219">
        <f t="shared" si="1"/>
        <v>15.236000000000001</v>
      </c>
      <c r="J12" s="14"/>
      <c r="K12" s="14"/>
      <c r="L12" s="14"/>
      <c r="M12" s="14"/>
      <c r="N12" s="14"/>
      <c r="O12" t="s">
        <v>205</v>
      </c>
    </row>
    <row r="13" spans="1:15" x14ac:dyDescent="0.25">
      <c r="A13" s="5">
        <v>2002</v>
      </c>
      <c r="B13" s="137">
        <v>454</v>
      </c>
      <c r="C13" s="137">
        <v>118</v>
      </c>
      <c r="D13" s="137">
        <v>4024</v>
      </c>
      <c r="E13" s="137">
        <v>2187</v>
      </c>
      <c r="F13" s="137">
        <v>7880</v>
      </c>
      <c r="G13" s="137">
        <v>0</v>
      </c>
      <c r="H13" s="218">
        <f t="shared" si="2"/>
        <v>14663</v>
      </c>
      <c r="I13" s="219">
        <f t="shared" si="1"/>
        <v>14.663</v>
      </c>
      <c r="J13" s="14"/>
      <c r="K13" s="14"/>
      <c r="L13" s="14"/>
      <c r="M13" s="14"/>
      <c r="N13" s="14"/>
      <c r="O13" t="s">
        <v>205</v>
      </c>
    </row>
    <row r="14" spans="1:15" x14ac:dyDescent="0.25">
      <c r="A14" s="5">
        <v>2001</v>
      </c>
      <c r="B14" s="137">
        <v>445</v>
      </c>
      <c r="C14" s="137">
        <v>517</v>
      </c>
      <c r="D14" s="137">
        <v>4712</v>
      </c>
      <c r="E14" s="137">
        <v>2235</v>
      </c>
      <c r="F14" s="137">
        <v>5839</v>
      </c>
      <c r="G14" s="137">
        <v>0</v>
      </c>
      <c r="H14" s="218">
        <f t="shared" si="2"/>
        <v>13748</v>
      </c>
      <c r="I14" s="219">
        <f t="shared" si="1"/>
        <v>13.747999999999999</v>
      </c>
      <c r="J14" s="14"/>
      <c r="K14" s="14"/>
      <c r="L14" s="14"/>
      <c r="M14" s="14"/>
      <c r="N14" s="14"/>
      <c r="O14" t="s">
        <v>206</v>
      </c>
    </row>
    <row r="15" spans="1:15" x14ac:dyDescent="0.25">
      <c r="A15" s="5">
        <v>2000</v>
      </c>
      <c r="B15" s="137">
        <v>518</v>
      </c>
      <c r="C15" s="137"/>
      <c r="D15" s="137">
        <f>2790+4284</f>
        <v>7074</v>
      </c>
      <c r="E15" s="137">
        <v>2089</v>
      </c>
      <c r="F15" s="137">
        <v>4788</v>
      </c>
      <c r="G15" s="137">
        <v>0</v>
      </c>
      <c r="H15" s="218">
        <f t="shared" si="2"/>
        <v>14469</v>
      </c>
      <c r="I15" s="219">
        <f t="shared" si="1"/>
        <v>14.468999999999999</v>
      </c>
      <c r="J15" s="133"/>
      <c r="K15" s="133"/>
      <c r="L15" s="133"/>
      <c r="M15" s="133"/>
      <c r="N15" s="133"/>
    </row>
    <row r="16" spans="1:15" x14ac:dyDescent="0.25">
      <c r="A16" s="5">
        <v>1999</v>
      </c>
      <c r="B16" s="137"/>
      <c r="C16" s="137"/>
      <c r="D16" s="137"/>
      <c r="E16" s="137"/>
      <c r="F16" s="137"/>
      <c r="G16" s="137"/>
      <c r="H16" s="133"/>
      <c r="I16" s="225">
        <v>10</v>
      </c>
      <c r="J16" s="133"/>
      <c r="K16" s="133"/>
      <c r="L16" s="133"/>
      <c r="M16" s="133"/>
      <c r="N16" s="133"/>
      <c r="O16" t="s">
        <v>207</v>
      </c>
    </row>
    <row r="17" spans="1:15" x14ac:dyDescent="0.25">
      <c r="A17" s="5">
        <v>1998</v>
      </c>
      <c r="B17" s="137"/>
      <c r="C17" s="137"/>
      <c r="D17" s="222">
        <v>44000</v>
      </c>
      <c r="E17" s="137"/>
      <c r="F17" s="137"/>
      <c r="G17" s="137"/>
      <c r="H17" s="133"/>
      <c r="I17" s="225">
        <v>9</v>
      </c>
      <c r="J17" s="133"/>
      <c r="K17" s="133"/>
      <c r="L17" s="133"/>
      <c r="M17" s="133"/>
      <c r="N17" s="133"/>
    </row>
    <row r="18" spans="1:15" x14ac:dyDescent="0.25">
      <c r="A18" s="5">
        <v>1997</v>
      </c>
      <c r="B18" s="137"/>
      <c r="C18" s="137"/>
      <c r="D18" s="137"/>
      <c r="E18" s="137"/>
      <c r="F18" s="137"/>
      <c r="G18" s="137"/>
      <c r="H18" s="14"/>
      <c r="I18" s="225">
        <v>9</v>
      </c>
      <c r="J18" s="14"/>
      <c r="K18" s="14"/>
      <c r="L18" s="14"/>
      <c r="M18" s="14"/>
      <c r="N18" s="14"/>
    </row>
    <row r="19" spans="1:15" x14ac:dyDescent="0.25">
      <c r="A19" s="5">
        <v>1996</v>
      </c>
      <c r="H19" s="223">
        <v>36500</v>
      </c>
      <c r="I19" s="219">
        <f>H19/6.55957/1000</f>
        <v>5.5643891291654795</v>
      </c>
      <c r="O19" t="s">
        <v>201</v>
      </c>
    </row>
    <row r="20" spans="1:15" x14ac:dyDescent="0.25">
      <c r="A20" s="5">
        <v>1995</v>
      </c>
      <c r="B20" s="82"/>
      <c r="C20" s="220">
        <v>16900</v>
      </c>
      <c r="D20" s="220">
        <v>3763</v>
      </c>
      <c r="E20" s="82"/>
      <c r="F20" s="82"/>
      <c r="H20" s="224">
        <f>SUM(C20:D20)</f>
        <v>20663</v>
      </c>
      <c r="I20" s="219">
        <f t="shared" ref="I20:I22" si="3">H20/6.55957/1000</f>
        <v>3.1500540431766106</v>
      </c>
      <c r="O20" t="s">
        <v>201</v>
      </c>
    </row>
    <row r="21" spans="1:15" x14ac:dyDescent="0.25">
      <c r="A21" s="5">
        <v>1994</v>
      </c>
      <c r="B21" s="123"/>
      <c r="C21" s="220">
        <v>11639</v>
      </c>
      <c r="E21" s="123"/>
      <c r="F21" s="221"/>
      <c r="H21" s="224">
        <f t="shared" ref="H21:H22" si="4">SUM(C21:D21)</f>
        <v>11639</v>
      </c>
      <c r="I21" s="219">
        <f t="shared" si="3"/>
        <v>1.7743541116262196</v>
      </c>
      <c r="O21" t="s">
        <v>201</v>
      </c>
    </row>
    <row r="22" spans="1:15" x14ac:dyDescent="0.25">
      <c r="A22" s="5">
        <v>1993</v>
      </c>
      <c r="C22" s="220">
        <v>3854</v>
      </c>
      <c r="D22" s="220"/>
      <c r="H22" s="224">
        <f t="shared" si="4"/>
        <v>3854</v>
      </c>
      <c r="I22" s="219">
        <f t="shared" si="3"/>
        <v>0.58753851243297961</v>
      </c>
    </row>
    <row r="23" spans="1:15" x14ac:dyDescent="0.25">
      <c r="D23" s="220"/>
    </row>
  </sheetData>
  <mergeCells count="1">
    <mergeCell ref="J1:N1"/>
  </mergeCells>
  <pageMargins left="0.7" right="0.7" top="0.75" bottom="0.75" header="0.3" footer="0.3"/>
  <pageSetup paperSize="9" orientation="portrait" r:id="rId1"/>
  <ignoredErrors>
    <ignoredError sqref="N3:N5"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Calcul_assietteCSG</vt:lpstr>
      <vt:lpstr>CSG-CRDS (V&amp;M)</vt:lpstr>
      <vt:lpstr>Recettes CSG (CCSS)</vt:lpstr>
      <vt:lpstr>Recettes CSG (FSV)</vt:lpstr>
      <vt:lpstr>tx (FSV)</vt:lpstr>
      <vt:lpstr>Calculs_prélim_Rev_cap_CSG</vt:lpstr>
      <vt:lpstr>Rev_cap_CSG</vt:lpstr>
      <vt:lpstr>EXO</vt:lpstr>
      <vt:lpstr>Rému FP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Antoine Bozio</dc:creator>
  <cp:lastModifiedBy>Jonathan Goupille</cp:lastModifiedBy>
  <dcterms:created xsi:type="dcterms:W3CDTF">2012-01-24T16:43:54Z</dcterms:created>
  <dcterms:modified xsi:type="dcterms:W3CDTF">2012-09-21T12:36:07Z</dcterms:modified>
</cp:coreProperties>
</file>