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720" windowWidth="15360" windowHeight="7425" tabRatio="731" activeTab="7"/>
  </bookViews>
  <sheets>
    <sheet name="Sommaire" sheetId="1" r:id="rId1"/>
    <sheet name="deduc_sal" sheetId="14" r:id="rId2"/>
    <sheet name="RCM" sheetId="16" r:id="rId3"/>
    <sheet name="micro" sheetId="17" r:id="rId4"/>
    <sheet name="charg_deduc" sheetId="19" r:id="rId5"/>
    <sheet name="abat_RNI" sheetId="20" r:id="rId6"/>
    <sheet name="exo_IR" sheetId="22" r:id="rId7"/>
    <sheet name="Barème IR" sheetId="2" r:id="rId8"/>
    <sheet name="plaf_qf" sheetId="21" r:id="rId9"/>
    <sheet name="pv" sheetId="9" r:id="rId10"/>
    <sheet name="dons" sheetId="26" r:id="rId11"/>
    <sheet name="cot_synd" sheetId="25" r:id="rId12"/>
    <sheet name="SOFIPECHE" sheetId="41" r:id="rId13"/>
    <sheet name="sal_dom" sheetId="6" r:id="rId14"/>
    <sheet name="prest_compen" sheetId="40" r:id="rId15"/>
    <sheet name="FCP" sheetId="28" r:id="rId16"/>
    <sheet name="SOFICA" sheetId="29" r:id="rId17"/>
    <sheet name="PME" sheetId="30" r:id="rId18"/>
    <sheet name="forêt" sheetId="27" r:id="rId19"/>
    <sheet name="enfscol" sheetId="8" r:id="rId20"/>
    <sheet name="heberg_santé" sheetId="37" r:id="rId21"/>
    <sheet name="habitat_princ" sheetId="38" r:id="rId22"/>
    <sheet name="codev" sheetId="42" r:id="rId23"/>
    <sheet name="divers" sheetId="39" r:id="rId24"/>
    <sheet name="gardenf" sheetId="7" r:id="rId25"/>
    <sheet name="PPE" sheetId="3" r:id="rId26"/>
    <sheet name="plaf_nich" sheetId="34" r:id="rId27"/>
    <sheet name="taxe_HR" sheetId="44" r:id="rId28"/>
  </sheets>
  <calcPr calcId="145621"/>
</workbook>
</file>

<file path=xl/calcChain.xml><?xml version="1.0" encoding="utf-8"?>
<calcChain xmlns="http://schemas.openxmlformats.org/spreadsheetml/2006/main">
  <c r="C42" i="1" l="1"/>
  <c r="C41" i="1"/>
  <c r="C32" i="1"/>
  <c r="C21" i="1" l="1"/>
  <c r="C23" i="1" s="1"/>
  <c r="C24" i="1" s="1"/>
  <c r="C25" i="1" s="1"/>
  <c r="C26" i="1" s="1"/>
  <c r="C27" i="1" s="1"/>
  <c r="C28" i="1" s="1"/>
  <c r="C29" i="1" s="1"/>
  <c r="C30" i="1" s="1"/>
  <c r="C31" i="1" s="1"/>
  <c r="C33" i="1" s="1"/>
  <c r="C34" i="1" s="1"/>
  <c r="C35" i="1" s="1"/>
  <c r="C36" i="1" s="1"/>
  <c r="C37" i="1" s="1"/>
  <c r="C38" i="1" s="1"/>
  <c r="C40" i="1" s="1"/>
  <c r="D3" i="20" l="1"/>
  <c r="E3" i="20"/>
  <c r="F3" i="20"/>
  <c r="G3" i="20"/>
  <c r="C3" i="20"/>
  <c r="H3" i="17"/>
  <c r="J3" i="17"/>
  <c r="I3" i="17"/>
  <c r="D3" i="21"/>
  <c r="E3" i="21"/>
  <c r="F3" i="21"/>
  <c r="G3" i="21"/>
  <c r="C3" i="21"/>
  <c r="D3" i="22"/>
  <c r="E3" i="22"/>
  <c r="C3" i="22"/>
  <c r="D3" i="19"/>
  <c r="E3" i="19"/>
  <c r="F3" i="19"/>
  <c r="C3" i="19"/>
  <c r="H3" i="14"/>
  <c r="I3" i="14"/>
  <c r="J3" i="14"/>
  <c r="K3" i="14"/>
  <c r="G3" i="14"/>
  <c r="B3" i="34"/>
  <c r="B4" i="34" s="1"/>
  <c r="B5" i="34" s="1"/>
  <c r="B6" i="34" s="1"/>
  <c r="B7" i="34" s="1"/>
  <c r="B8" i="34" s="1"/>
  <c r="B9" i="34" s="1"/>
  <c r="B10" i="34" s="1"/>
  <c r="B11" i="34" s="1"/>
  <c r="B12" i="34" s="1"/>
  <c r="B13" i="34" s="1"/>
  <c r="B14" i="34" s="1"/>
  <c r="B15" i="34" s="1"/>
  <c r="B16" i="34" s="1"/>
  <c r="B17" i="34" s="1"/>
  <c r="B18" i="34" s="1"/>
  <c r="B19" i="34" s="1"/>
  <c r="B20" i="34" s="1"/>
  <c r="I3" i="26" l="1"/>
  <c r="I4" i="26"/>
  <c r="I5" i="26"/>
  <c r="I6" i="26"/>
  <c r="I7" i="26"/>
  <c r="I8" i="26"/>
  <c r="I9" i="26"/>
  <c r="H3" i="26"/>
  <c r="H4" i="26"/>
  <c r="H5" i="26"/>
  <c r="H6" i="26"/>
  <c r="H7" i="26"/>
  <c r="H8" i="26"/>
  <c r="H9" i="26"/>
  <c r="G3" i="26"/>
  <c r="G4" i="26"/>
  <c r="G5" i="26"/>
  <c r="G6" i="26"/>
  <c r="G7" i="26"/>
  <c r="G8" i="26"/>
  <c r="G9" i="26"/>
  <c r="I11" i="26"/>
  <c r="G11" i="26"/>
  <c r="H11" i="26"/>
  <c r="H10" i="26"/>
  <c r="I10" i="26"/>
  <c r="G10" i="26"/>
  <c r="D5" i="34" l="1"/>
  <c r="C5" i="34"/>
  <c r="D4" i="34"/>
  <c r="C4" i="34"/>
  <c r="C3" i="34"/>
  <c r="F11" i="26"/>
  <c r="C9" i="26"/>
  <c r="F9" i="26"/>
  <c r="D3" i="26"/>
  <c r="D12" i="27" l="1"/>
  <c r="D11" i="27"/>
  <c r="D10" i="27"/>
  <c r="D9" i="27"/>
  <c r="D8" i="27"/>
  <c r="D7" i="27"/>
  <c r="D6" i="27"/>
  <c r="D5" i="27"/>
  <c r="D4" i="27"/>
  <c r="D3" i="27"/>
  <c r="C13" i="26"/>
  <c r="E16" i="26"/>
  <c r="F10" i="26"/>
  <c r="D5" i="9" l="1"/>
  <c r="D19" i="26"/>
  <c r="D18" i="26"/>
  <c r="D17" i="26"/>
  <c r="D15" i="26"/>
  <c r="D14" i="26"/>
  <c r="D13" i="26"/>
  <c r="E19" i="26"/>
  <c r="C19" i="26"/>
  <c r="E18" i="26"/>
  <c r="C18" i="26"/>
  <c r="F17" i="26"/>
  <c r="E17" i="26"/>
  <c r="C17" i="26"/>
  <c r="F16" i="26"/>
  <c r="C16" i="26"/>
  <c r="F15" i="26"/>
  <c r="E15" i="26"/>
  <c r="C15" i="26"/>
  <c r="F14" i="26"/>
  <c r="E14" i="26"/>
  <c r="C14" i="26"/>
  <c r="F13" i="26"/>
  <c r="E13" i="26"/>
  <c r="F12" i="26"/>
  <c r="E12" i="26"/>
  <c r="C10" i="26"/>
  <c r="D9" i="26"/>
  <c r="F8" i="26"/>
  <c r="E8" i="26"/>
  <c r="C8" i="26"/>
  <c r="F7" i="26"/>
  <c r="E7" i="26"/>
  <c r="C7" i="26"/>
  <c r="F6" i="26"/>
  <c r="E6" i="26"/>
  <c r="C6" i="26"/>
  <c r="F5" i="26"/>
  <c r="E5" i="26"/>
  <c r="C5" i="26"/>
  <c r="F4" i="26"/>
  <c r="E4" i="26"/>
  <c r="D4" i="26"/>
  <c r="C4" i="26"/>
  <c r="F3" i="26"/>
  <c r="E3" i="26"/>
  <c r="C3" i="26"/>
  <c r="C18" i="21"/>
  <c r="C17" i="21"/>
  <c r="C14" i="21"/>
  <c r="E5" i="19"/>
  <c r="E6" i="19"/>
  <c r="E7" i="19"/>
  <c r="E8" i="19"/>
  <c r="E9" i="19"/>
  <c r="E10" i="19"/>
  <c r="E4" i="19"/>
  <c r="E12" i="22" l="1"/>
  <c r="E13" i="22"/>
  <c r="E14" i="22"/>
  <c r="E15" i="22"/>
  <c r="E16" i="22"/>
  <c r="E18" i="22"/>
  <c r="E19" i="22"/>
  <c r="E20" i="22"/>
  <c r="E10" i="22"/>
  <c r="E11" i="22"/>
  <c r="E17" i="22" l="1"/>
  <c r="K8" i="20"/>
  <c r="W8" i="19" l="1"/>
  <c r="N8" i="17"/>
  <c r="J17" i="17"/>
  <c r="J16" i="17"/>
  <c r="J15" i="17"/>
  <c r="J14" i="17"/>
  <c r="J13" i="17"/>
  <c r="J12" i="17"/>
  <c r="J11" i="17"/>
  <c r="J10" i="17"/>
  <c r="J8" i="17"/>
  <c r="J7" i="17"/>
  <c r="J6" i="17"/>
  <c r="J5" i="17"/>
  <c r="J4" i="17"/>
  <c r="I6" i="17"/>
  <c r="I5" i="17"/>
  <c r="I4" i="17"/>
  <c r="L20" i="17"/>
  <c r="L19" i="17"/>
  <c r="L18" i="17"/>
  <c r="L17" i="17"/>
  <c r="L16" i="17"/>
  <c r="L15" i="17"/>
  <c r="L14" i="17"/>
  <c r="L13" i="17"/>
  <c r="H8" i="17"/>
  <c r="H7" i="17"/>
  <c r="H6" i="17"/>
  <c r="H5" i="17"/>
  <c r="H4" i="17"/>
  <c r="C12" i="1"/>
  <c r="C13" i="1" s="1"/>
  <c r="C14" i="1" s="1"/>
  <c r="C15" i="1" s="1"/>
  <c r="C16" i="1" s="1"/>
  <c r="C17" i="1" s="1"/>
  <c r="J17" i="14"/>
  <c r="K17" i="14"/>
  <c r="D19" i="6" l="1"/>
  <c r="D21" i="6"/>
  <c r="AG8" i="2"/>
  <c r="W17" i="2"/>
  <c r="V17" i="2"/>
  <c r="U17" i="2"/>
  <c r="T17" i="2"/>
  <c r="S17" i="2"/>
  <c r="Q17" i="2"/>
  <c r="D20" i="6"/>
  <c r="D22" i="6"/>
  <c r="C19" i="6"/>
  <c r="C20" i="6"/>
  <c r="C21" i="6"/>
  <c r="C22" i="6"/>
  <c r="E3" i="8"/>
  <c r="D3" i="8"/>
  <c r="C3" i="8"/>
  <c r="E4" i="8"/>
  <c r="D4" i="8"/>
  <c r="C4" i="8"/>
  <c r="E5" i="8"/>
  <c r="D5" i="8"/>
  <c r="C5" i="8"/>
  <c r="E6" i="8"/>
  <c r="D6" i="8"/>
  <c r="C6" i="8"/>
  <c r="E7" i="8"/>
  <c r="D7" i="8"/>
  <c r="C7" i="8"/>
  <c r="E8" i="8"/>
  <c r="D8" i="8"/>
  <c r="C8" i="8"/>
  <c r="D3" i="7"/>
  <c r="C3" i="7"/>
  <c r="D4" i="7"/>
  <c r="C4" i="7"/>
  <c r="D5" i="7"/>
  <c r="C5" i="7"/>
  <c r="D6" i="7"/>
  <c r="C6" i="7"/>
  <c r="D7" i="7"/>
  <c r="D8" i="7"/>
  <c r="C13" i="7"/>
  <c r="C14" i="7"/>
  <c r="C15" i="7"/>
  <c r="C16" i="7"/>
  <c r="C17" i="7"/>
  <c r="C18" i="7"/>
  <c r="C19" i="7"/>
  <c r="G3" i="6"/>
  <c r="F3" i="6"/>
  <c r="E3" i="6"/>
  <c r="D3" i="6"/>
  <c r="C3" i="6"/>
  <c r="G4" i="6"/>
  <c r="F4" i="6"/>
  <c r="E4" i="6"/>
  <c r="D4" i="6"/>
  <c r="C4" i="6"/>
  <c r="G5" i="6"/>
  <c r="F5" i="6"/>
  <c r="E5" i="6"/>
  <c r="D5" i="6"/>
  <c r="C5" i="6"/>
  <c r="G6" i="6"/>
  <c r="F6" i="6"/>
  <c r="E6" i="6"/>
  <c r="D6" i="6"/>
  <c r="C6" i="6"/>
  <c r="G7" i="6"/>
  <c r="F7" i="6"/>
  <c r="E7" i="6"/>
  <c r="D7" i="6"/>
  <c r="C7" i="6"/>
  <c r="G8" i="6"/>
  <c r="F8" i="6"/>
  <c r="E8" i="6"/>
  <c r="D8" i="6"/>
  <c r="C8" i="6"/>
  <c r="C9" i="6"/>
  <c r="C10" i="6"/>
  <c r="C11" i="6"/>
  <c r="C12" i="6"/>
  <c r="C13" i="6"/>
  <c r="C14" i="6"/>
  <c r="C15" i="6"/>
  <c r="C16" i="6"/>
  <c r="C17" i="6"/>
  <c r="C18" i="6"/>
  <c r="L13" i="3" l="1"/>
  <c r="K13" i="3"/>
  <c r="I13" i="3"/>
  <c r="G13" i="3"/>
  <c r="L12" i="3"/>
  <c r="K12" i="3"/>
  <c r="K9" i="3"/>
  <c r="W18" i="2"/>
  <c r="V18" i="2"/>
  <c r="U18" i="2"/>
  <c r="T18" i="2"/>
  <c r="S18" i="2"/>
  <c r="R18" i="2"/>
  <c r="Q18" i="2"/>
  <c r="G18" i="2"/>
  <c r="F18" i="2"/>
  <c r="E18" i="2"/>
  <c r="D18" i="2"/>
  <c r="W16" i="2"/>
  <c r="V16" i="2"/>
  <c r="U16" i="2"/>
  <c r="T16" i="2"/>
  <c r="S16" i="2"/>
  <c r="Q16" i="2"/>
  <c r="G16" i="2"/>
  <c r="F16" i="2"/>
  <c r="E16" i="2"/>
  <c r="D16" i="2"/>
  <c r="C16" i="2"/>
  <c r="W15" i="2"/>
  <c r="V15" i="2"/>
  <c r="U15" i="2"/>
  <c r="T15" i="2"/>
  <c r="S15" i="2"/>
  <c r="R15" i="2"/>
  <c r="Q15" i="2"/>
  <c r="G15" i="2"/>
  <c r="F15" i="2"/>
  <c r="E15" i="2"/>
  <c r="D15" i="2"/>
  <c r="W14" i="2"/>
  <c r="V14" i="2"/>
  <c r="U14" i="2"/>
  <c r="T14" i="2"/>
  <c r="S14" i="2"/>
  <c r="R14" i="2"/>
  <c r="Q14" i="2"/>
  <c r="G14" i="2"/>
  <c r="F14" i="2"/>
  <c r="E14" i="2"/>
  <c r="D14" i="2"/>
  <c r="C14" i="2"/>
  <c r="W13" i="2"/>
  <c r="V13" i="2"/>
  <c r="U13" i="2"/>
  <c r="T13" i="2"/>
  <c r="S13" i="2"/>
  <c r="R13" i="2"/>
  <c r="Q13" i="2"/>
  <c r="E13" i="2"/>
  <c r="D13" i="2"/>
  <c r="C13" i="2"/>
  <c r="W12" i="2"/>
  <c r="V12" i="2"/>
  <c r="I12" i="2"/>
  <c r="U12" i="2"/>
  <c r="T12" i="2"/>
  <c r="S12" i="2"/>
  <c r="R12" i="2"/>
  <c r="Q12" i="2"/>
  <c r="C12" i="2"/>
  <c r="I11" i="2"/>
  <c r="Q11" i="2"/>
  <c r="F11" i="2"/>
  <c r="E11" i="2"/>
  <c r="D11" i="2"/>
  <c r="C11" i="2"/>
  <c r="I10" i="2"/>
  <c r="R10" i="2"/>
  <c r="R9" i="2" s="1"/>
  <c r="Q10" i="2"/>
  <c r="G10" i="2"/>
  <c r="E10" i="2"/>
  <c r="C10" i="2"/>
  <c r="Q9" i="2"/>
  <c r="C9" i="2"/>
  <c r="U8" i="2"/>
  <c r="T8" i="2"/>
  <c r="S8" i="2"/>
  <c r="R8" i="2"/>
  <c r="Q8" i="2"/>
  <c r="C8" i="2"/>
  <c r="U7" i="2"/>
  <c r="T7" i="2"/>
  <c r="S7" i="2"/>
  <c r="R7" i="2"/>
  <c r="Q7" i="2"/>
  <c r="C7" i="2"/>
  <c r="U6" i="2"/>
  <c r="T6" i="2"/>
  <c r="S6" i="2"/>
  <c r="R6" i="2"/>
  <c r="Q6" i="2"/>
  <c r="G6" i="2"/>
  <c r="F6" i="2"/>
  <c r="E6" i="2"/>
  <c r="D6" i="2"/>
  <c r="C6" i="2"/>
  <c r="U5" i="2"/>
  <c r="T5" i="2"/>
  <c r="S5" i="2"/>
  <c r="R5" i="2"/>
  <c r="Q5" i="2"/>
  <c r="C5" i="2"/>
  <c r="T4" i="2"/>
  <c r="S4" i="2"/>
  <c r="R4" i="2"/>
  <c r="Q4" i="2"/>
  <c r="C4" i="2"/>
  <c r="C44" i="1"/>
</calcChain>
</file>

<file path=xl/sharedStrings.xml><?xml version="1.0" encoding="utf-8"?>
<sst xmlns="http://schemas.openxmlformats.org/spreadsheetml/2006/main" count="1003" uniqueCount="628">
  <si>
    <t>Citer cette source:</t>
  </si>
  <si>
    <t>Contacts:</t>
  </si>
  <si>
    <r>
      <rPr>
        <i/>
        <sz val="11"/>
        <color theme="1"/>
        <rFont val="Calibri"/>
        <family val="2"/>
        <scheme val="minor"/>
      </rPr>
      <t>Barèmes de l'IPP: paramètre de l'IR</t>
    </r>
    <r>
      <rPr>
        <sz val="11"/>
        <color theme="1"/>
        <rFont val="Calibri"/>
        <family val="2"/>
        <scheme val="minor"/>
      </rPr>
      <t>, Institut des politiques publiques, Janvier 2012.</t>
    </r>
  </si>
  <si>
    <t>Référence législative</t>
  </si>
  <si>
    <t>Parution au JO</t>
  </si>
  <si>
    <t>Notes</t>
  </si>
  <si>
    <t>tranche1</t>
  </si>
  <si>
    <t>tranche2</t>
  </si>
  <si>
    <t>tranche3</t>
  </si>
  <si>
    <t>tranche4</t>
  </si>
  <si>
    <t>tranche5</t>
  </si>
  <si>
    <t>txmarg1</t>
  </si>
  <si>
    <t>txmarg2</t>
  </si>
  <si>
    <t>txmarg3</t>
  </si>
  <si>
    <t>txmarg4</t>
  </si>
  <si>
    <t>txmarg5</t>
  </si>
  <si>
    <t>txmarg6</t>
  </si>
  <si>
    <t>txmarg7</t>
  </si>
  <si>
    <t>Sources brutes</t>
  </si>
  <si>
    <t>BOI 5 B-7-11 
n°26 du 28/03/2011</t>
  </si>
  <si>
    <t>BOI 5 B-13-10
 n°22 du 16/02/2010</t>
  </si>
  <si>
    <t>BOI 5 B-9-09
n°35 du 31/03/2009</t>
  </si>
  <si>
    <t>BOI 5 B-11-08
n°28 du 04/03/2008</t>
  </si>
  <si>
    <t>BOI 5 B-10-07
n°47 du 29/03/2007</t>
  </si>
  <si>
    <t>BOI 5 B-6-06
n°8 du 18/01/2006</t>
  </si>
  <si>
    <t>BOI 5 B-9-05
n°33 du 18/02/2005</t>
  </si>
  <si>
    <t>BOI 5 B-8-04
n°37 du 25/02/2004</t>
  </si>
  <si>
    <t>BOI 5 B-6-03
n°16 du 27/01/2003</t>
  </si>
  <si>
    <t>BOI 5 B-3-02
n°18 du 25/01/2002</t>
  </si>
  <si>
    <t>BOI 5 B-9-01
n°44 du 02/03/2001</t>
  </si>
  <si>
    <t xml:space="preserve">BOI 5 B-19-00
n°163 du 05/09/2000
BOI 5 B-5-00
n°11 du 17/01/2000
</t>
  </si>
  <si>
    <t>seuil_rfr_ppe</t>
  </si>
  <si>
    <t>seuil_rfr_ppe_coup</t>
  </si>
  <si>
    <t>seuil_rfr_ppe_enf</t>
  </si>
  <si>
    <t>seuil_ppe_min</t>
  </si>
  <si>
    <t>seuil_ppe</t>
  </si>
  <si>
    <t>seuil_ppe_max</t>
  </si>
  <si>
    <t>seuil_ppe_coup</t>
  </si>
  <si>
    <t>seuil_ppe_max_coup</t>
  </si>
  <si>
    <t>tx_ppe</t>
  </si>
  <si>
    <t>tx_ret_ppe</t>
  </si>
  <si>
    <t>tx_ret_ppe_coup</t>
  </si>
  <si>
    <t>supp_ppe_coup</t>
  </si>
  <si>
    <t>supp_ppe_enf</t>
  </si>
  <si>
    <t>maj_ppe_tp</t>
  </si>
  <si>
    <t>maj_ppe_tpbis</t>
  </si>
  <si>
    <t>ppe_min</t>
  </si>
  <si>
    <t>introduction de la majoration pour temps partiel</t>
  </si>
  <si>
    <t xml:space="preserve">loi n° 2001-458 du 30/05/2001
</t>
  </si>
  <si>
    <t>loi de finances pour 2002
loi de finances rectificative pour 2001</t>
  </si>
  <si>
    <t>doublement de la prime versé théoriquement en 2001 avec l'instauration d'un complément égal au montant inital de PPE calculé pour l'année 2001.</t>
  </si>
  <si>
    <t>Prime pour l'emploi (PPE)</t>
  </si>
  <si>
    <t>exo_IR-65</t>
  </si>
  <si>
    <t>exo_IR+65</t>
  </si>
  <si>
    <t>plaf_qf</t>
  </si>
  <si>
    <t>plaf_qf_parentisole</t>
  </si>
  <si>
    <t>plaf_qf_persseule</t>
  </si>
  <si>
    <t>plaf_qf_inv</t>
  </si>
  <si>
    <t>plaf_penalim</t>
  </si>
  <si>
    <t>abt_pers_age2</t>
  </si>
  <si>
    <t>plaf_pers_age1</t>
  </si>
  <si>
    <t>plaf_pers_age2</t>
  </si>
  <si>
    <t>tx_ded_sal</t>
  </si>
  <si>
    <t>tx_abt_sal</t>
  </si>
  <si>
    <t>min_abtsal</t>
  </si>
  <si>
    <t>min_abtsal_chom</t>
  </si>
  <si>
    <t>max_abtsal</t>
  </si>
  <si>
    <t>min_abtpen</t>
  </si>
  <si>
    <t>max_abtpen</t>
  </si>
  <si>
    <t>plaf_frais</t>
  </si>
  <si>
    <t>abt_enfmaries</t>
  </si>
  <si>
    <t>plafColuche</t>
  </si>
  <si>
    <t>param_decote</t>
  </si>
  <si>
    <t xml:space="preserve">intégration de l'abattement de 20% au barème de l'impôt sur le revenu
</t>
  </si>
  <si>
    <t>txsaldomicile</t>
  </si>
  <si>
    <t>plafsaldomicile</t>
  </si>
  <si>
    <t>increment_plafsaldomicile</t>
  </si>
  <si>
    <t>superplafsaldom</t>
  </si>
  <si>
    <t>plafsaldominvalide</t>
  </si>
  <si>
    <t>Emploi d'un salarié à domicile (saldom)</t>
  </si>
  <si>
    <t>txgardenf</t>
  </si>
  <si>
    <t>plafgardenf</t>
  </si>
  <si>
    <t>college</t>
  </si>
  <si>
    <t>lycee</t>
  </si>
  <si>
    <t>universite</t>
  </si>
  <si>
    <t>Réductions pour enfants scolarisés (enfscol)</t>
  </si>
  <si>
    <t>Imposition des plus-values (pv)</t>
  </si>
  <si>
    <t>tx_pv</t>
  </si>
  <si>
    <t>seuil_pv</t>
  </si>
  <si>
    <t>BOI 5 C-1-09
n°9 du 23/01/2009</t>
  </si>
  <si>
    <t>BOI 5 C-2-08
n°50 du 14/05/2008</t>
  </si>
  <si>
    <t>A compter du 1er janvier 2009, le seuil de cession est actualisé chaque année dans la même proportion que la limite supérieure de la première tranche du barème de l’impôt sur le revenu de l’année précédant celle de la cession.</t>
  </si>
  <si>
    <t>BOI 5 C-2-08
n°36 du 14/03/2007</t>
  </si>
  <si>
    <t>BOI 5 C-1-03
n°51 du 18/03/2003</t>
  </si>
  <si>
    <t>txabt_micro</t>
  </si>
  <si>
    <t>txabt_micro_service</t>
  </si>
  <si>
    <t>abtmin_micro</t>
  </si>
  <si>
    <t>limit_micro</t>
  </si>
  <si>
    <t>limit_micro_service</t>
  </si>
  <si>
    <t>txabt_microbnc</t>
  </si>
  <si>
    <t>loi de finances pour 2009
N° 2008-1425 DU 27 /12/2008</t>
  </si>
  <si>
    <t>loi de finances pour 2008
N° 2007-1822 DU 24/12/2007</t>
  </si>
  <si>
    <t>loi de finances pour 2006
N° 2005-1719 DU 30 /12/2005</t>
  </si>
  <si>
    <t>loi de finances pour 2005
N° 2004-1484 DU 30/12/2004</t>
  </si>
  <si>
    <t>loi de finances pour 2003
N° 2002-1575 DU 30/12/2002</t>
  </si>
  <si>
    <t>loi de finances pour 2004
N° 2003-1311 DU 30/12/2003</t>
  </si>
  <si>
    <t xml:space="preserve">BOI 5 B-5-00
n°11 du 17/01/2000
</t>
  </si>
  <si>
    <t>loi de finances pour 2007
N° 2006-1666 DU 21/12/2006</t>
  </si>
  <si>
    <t>BOI 5 B-8-03
n°34 du 21/02/2003</t>
  </si>
  <si>
    <t>BOI 5 B-20-05
n°121 du 15/07/2005</t>
  </si>
  <si>
    <t>abt_micro_fon</t>
  </si>
  <si>
    <t>Depuis le 01/01/2008, la réduction d'impot peut également devenir un crédit d'impot</t>
  </si>
  <si>
    <t>BOI 5 B-1-08
n°6 du 14/01/2008</t>
  </si>
  <si>
    <t>BOI 5 B-6-10
n°9 du 19/01/2010</t>
  </si>
  <si>
    <t xml:space="preserve">Création du dispositif pour l'imposition des revenus de 1991. 
Le contribuable doit choisir entre la réduction d'impôt pour l'emploi d'un salarié travaillant à la résidence d'un ascendant et le bénéfice des dispositions relatives aux pensions alimentaires, pour la pension versée à ce même ascendant. Le choix effectué en faveur de la réduction d'impôt entraîne renonciation à la déduction de l'ensemble des sommes versées à titre de pension alimentaire pour un même ascendant et non pas seulement à la fraction relative aux frais d'emploi du salarié à domicile. </t>
  </si>
  <si>
    <t>A partir de l'imposition des revenus de 2005, la réduction d'impot devient un crédit d'impot.</t>
  </si>
  <si>
    <t>BOI 5 B-13-06
n°62 du 05/04/2006</t>
  </si>
  <si>
    <t>Passage de 25% à 50% du taux de crédit d'impôt.</t>
  </si>
  <si>
    <t>DB 5 B-3315</t>
  </si>
  <si>
    <t>loi de finances pour 1993 
n° 92-1376 du 30/12/1992</t>
  </si>
  <si>
    <t>Création du dispositif pour l'imposition des revenus de 1988. Avant 89, la réduction d'impôt était une déduction du revenu.
Depuis l'imposition des revenus de 1992, la réduction d'impôt est réservée aux dépenses nécessitées par la garde des enfants à l'extérieur du domicile du contribuable.
La réduction d'impôt est accordée aux contribuables célibataires, veufs, divorcés ou séparés, domiciliés en France et qui exercent une activité professionnelle.
La même possibilité est accordée aux foyers fiscaux dans lesquels chacun des conjoints, soit occupe un emploi au moins à mi-temps, soit ne peut exercer cette activité du fait d'une longue maladie ou d'une infirmité ou poursuit des études dans l'enseignement supérieur.
Les enfants ouvrant droit à réduction d'impôt sont ceux âgés de moins de 6 ans au 1er janvier de l'année d'imposition.</t>
  </si>
  <si>
    <t>introduction d'une valeur minimale d'abattement pour les chômeurs de plus d'un an
 article 13 de la loi de finances pour 1998</t>
  </si>
  <si>
    <t xml:space="preserve">Les montants des plafonnements de quotient familial et de la décote se trouvent  au 2 de l'article 197 du CGI.
</t>
  </si>
  <si>
    <t>Revenu des valeurs et capitaux mobiliers (RCM)</t>
  </si>
  <si>
    <t>Déductions salaires, pensions (deduc_sal)</t>
  </si>
  <si>
    <t>abt_av</t>
  </si>
  <si>
    <t>tx_abt_rcm</t>
  </si>
  <si>
    <t>abt_rcm</t>
  </si>
  <si>
    <t>tx_pv1</t>
  </si>
  <si>
    <t>tx_pv2</t>
  </si>
  <si>
    <t>Régimes micro-entreprise et foncier (micro)</t>
  </si>
  <si>
    <t>plaf_DefBA</t>
  </si>
  <si>
    <t>plaf_def_fonc</t>
  </si>
  <si>
    <t>Création du régime micro-foncier</t>
  </si>
  <si>
    <t>Séparation du régime d'imposition micro-entreprise :
ventes de marchandises et prestations de services</t>
  </si>
  <si>
    <t>référence législative</t>
  </si>
  <si>
    <t>txSOFICA_1</t>
  </si>
  <si>
    <t>txSOFICA_2</t>
  </si>
  <si>
    <t>plafSOFICA</t>
  </si>
  <si>
    <t xml:space="preserve">baseSOFICA </t>
  </si>
  <si>
    <t>Charges déductibles du revenu brut global (charg_deduc)</t>
  </si>
  <si>
    <t>abt_pers_age1</t>
  </si>
  <si>
    <t>Décret n°2010-421 du
 27/04/2010 - art. 1</t>
  </si>
  <si>
    <t>Décret n°2009-389 du
 07/04/2009 - art. 1</t>
  </si>
  <si>
    <t>Décret n°2008-294 du
 01/04/2008 - art. 1</t>
  </si>
  <si>
    <t>loi de finances pour 2006
N° 2005-1719 DU 30 /12/2005  art.76</t>
  </si>
  <si>
    <t>Décret n°2011-645 du
 09/06/2011 - art. 1</t>
  </si>
  <si>
    <t>référence législative : pers_age</t>
  </si>
  <si>
    <t>loi de finances pour 2011
N° 2010-1657 DU 29/12/2010 - art. 2</t>
  </si>
  <si>
    <t>loi de finances pour 2010
N° 2009-1673 DU 30/12/2009 - art. 18</t>
  </si>
  <si>
    <t>loi de finances pour 2009
N° 2008-1425 DU 27 /12/2008 - art. 2</t>
  </si>
  <si>
    <t>loi de finances pour 2008
N° 2007-1822 DU 24/12/2007 - art. 2</t>
  </si>
  <si>
    <t>loi de finances pour 2007
N° 2006-1666 DU 21/12/2006 - art. 2</t>
  </si>
  <si>
    <t>loi de finances pour 2006
N° 2005-1719 DU 30 /12/2005 - art. 96</t>
  </si>
  <si>
    <t>loi de finances pour 2005
N° 2004-1484 DU 30/12/2004 - art. 2</t>
  </si>
  <si>
    <t>loi de finances pour 2004
N° 2003-1311 DU 30/12/2003 - art. 2</t>
  </si>
  <si>
    <t>loi de finances pour 2003
N° 2002-1575 DU 30/12/2002 - art. 2</t>
  </si>
  <si>
    <t>loi de finances pour 2001
N° 2000-1352 DU 30/12/2000 - art. 2</t>
  </si>
  <si>
    <t>loi de finances pour 2000
N° 99-1172 DU 30/12/1999 - art. 2</t>
  </si>
  <si>
    <t>Exonération d'IR (exo_IR)</t>
  </si>
  <si>
    <t>Abattement pour revenu net imposable (abt_RNI)</t>
  </si>
  <si>
    <t>Décret n°2009-389 du
07/04/2009 - art. 1</t>
  </si>
  <si>
    <t>Décret n°2008-294 du
01/04/2008 - art. 1</t>
  </si>
  <si>
    <t>loi de finances rectificative pour 2001
N° 2001-1276 du 28 décembre 2001 art.51</t>
  </si>
  <si>
    <t>exo_apprenti</t>
  </si>
  <si>
    <t>mindeduc_perp</t>
  </si>
  <si>
    <t>max_deduc_perp</t>
  </si>
  <si>
    <t>BOI 5 B-5-00
n°11 du 17/01/2000</t>
  </si>
  <si>
    <t>Plafonnement de quotient familial et décote (plaf_qf)</t>
  </si>
  <si>
    <t>art 200 sexies du CGI</t>
  </si>
  <si>
    <t>plafcotsynd</t>
  </si>
  <si>
    <t>Décret n°2008-294 du 1er avril 2008 - art. 1</t>
  </si>
  <si>
    <t xml:space="preserve">Décret n°2002-923 du
 06/06/2002 - art. 4 </t>
  </si>
  <si>
    <t xml:space="preserve">Loi n°2004-1485 du
 30/12/2004  - art. 31 et 35 (V) </t>
  </si>
  <si>
    <t xml:space="preserve">cotisations syndicales : art. 199 quater C du CGI
Créé par Loi 88-1149 1988-12-23 art. 8 I, II Finances pour 1989 JORF 28 décembre 1988
</t>
  </si>
  <si>
    <t>txColuche</t>
  </si>
  <si>
    <t>txDons</t>
  </si>
  <si>
    <t>plafDons</t>
  </si>
  <si>
    <t>Décret n°2011-645 du 9 juin 2011 - art. 1</t>
  </si>
  <si>
    <t xml:space="preserve">référence législative </t>
  </si>
  <si>
    <t>Décret n°2010-421 du 27 avril 2010 - art. 1</t>
  </si>
  <si>
    <t>Décret n°2009-389 du 7 avril 2009 - art. 1</t>
  </si>
  <si>
    <t>seuil_pv1</t>
  </si>
  <si>
    <t>tx_pea</t>
  </si>
  <si>
    <t>Sources brutes : seuil_pv</t>
  </si>
  <si>
    <t xml:space="preserve">Loi de programmation pour la cohésion sociale
 n° 2005-32 du 18/01/2005 </t>
  </si>
  <si>
    <t>Loi n°2003-709 du 01/08/2003 - art. 1 (V)</t>
  </si>
  <si>
    <t xml:space="preserve">
</t>
  </si>
  <si>
    <t>Investissement et travaux forestiers (forêt)</t>
  </si>
  <si>
    <t>Crée par loi d'orentation sur la forêt n°2001-602 du 9 juillet 2001</t>
  </si>
  <si>
    <t>txFCP_1</t>
  </si>
  <si>
    <t>txFCP_2</t>
  </si>
  <si>
    <t xml:space="preserve">plafFCP </t>
  </si>
  <si>
    <t>Article 199 decies du CGI</t>
  </si>
  <si>
    <t>plaf_creditRCM</t>
  </si>
  <si>
    <t>tx_nich</t>
  </si>
  <si>
    <t>plaf_nich</t>
  </si>
  <si>
    <t>Dons (dons)</t>
  </si>
  <si>
    <t>Cotisations syndicales (cot_synd)</t>
  </si>
  <si>
    <t>Souscription au capital des PME (PME)</t>
  </si>
  <si>
    <t>Souscription au capital de SOFICA (SOFICA)</t>
  </si>
  <si>
    <t>Frais de garde d'enfants (gardenf)</t>
  </si>
  <si>
    <t>Plafonnement global des niches (plaf_nich)</t>
  </si>
  <si>
    <t>Investissement dans les DOM-TOM (Outremer)</t>
  </si>
  <si>
    <t>Investissement locatif dans le secteur touristique (invest_loc)</t>
  </si>
  <si>
    <t>txmarg8</t>
  </si>
  <si>
    <t>txmarg9</t>
  </si>
  <si>
    <t>txmarg10</t>
  </si>
  <si>
    <t>txmarg11</t>
  </si>
  <si>
    <t>txmarg12</t>
  </si>
  <si>
    <t>txmarg13</t>
  </si>
  <si>
    <t>tranche6</t>
  </si>
  <si>
    <t>tranche7</t>
  </si>
  <si>
    <t>tranche8</t>
  </si>
  <si>
    <t>tranche9</t>
  </si>
  <si>
    <t>tranche10</t>
  </si>
  <si>
    <t>tranche11</t>
  </si>
  <si>
    <t>tranche12</t>
  </si>
  <si>
    <t>tranche13</t>
  </si>
  <si>
    <t>tranche14</t>
  </si>
  <si>
    <t>txmarg14</t>
  </si>
  <si>
    <t>Date IR</t>
  </si>
  <si>
    <t>Date revenus</t>
  </si>
  <si>
    <t>Loi de finances pour 2011
N° 2010-1657 du 29/12/2010</t>
  </si>
  <si>
    <t>Loi de finances pour 2010
N° 2009-1673 du 30/12/2009</t>
  </si>
  <si>
    <t>Loi de finances pour 2009
N° 2008-1425 du 27 /12/2008</t>
  </si>
  <si>
    <t>Loi de finances pour 2008
N° 2007-1822 du 24/12/2007</t>
  </si>
  <si>
    <t>Loi de finances pour 2007
N° 2006-1666 du 21/12/2006</t>
  </si>
  <si>
    <t>Loi de finances pour 2006
N° 2005-1719 du 30 /12/2005</t>
  </si>
  <si>
    <t>Loi de finances pour 2005
N° 2004-1484 du 30/12/2004</t>
  </si>
  <si>
    <t>Loi de finances pour 2004
N° 2003-1311 du 30/12/2003</t>
  </si>
  <si>
    <t>Loi de finances pour 2003
N° 2002-1575 du 30/12/2002</t>
  </si>
  <si>
    <t>Loi de finances pour 2002
N° 2001-1275 du 28/12/2001</t>
  </si>
  <si>
    <t>Loi de finances pour 2001
N° 2000-1352 du 30/12/2000</t>
  </si>
  <si>
    <t>Loi de finances pour 2000
N° 99-1172 du 30/12/1999</t>
  </si>
  <si>
    <t>Loi de finances pour 1999
N° 98-1266 du 30/12/1998</t>
  </si>
  <si>
    <t>Loi de finances pour 1998
N° 97-1269 du 30/12/1997</t>
  </si>
  <si>
    <t>Loi de finances pour 1997
N° 96-1181 du 30/12/1996</t>
  </si>
  <si>
    <t>Loi de finances pour 1996
N° 95-1346 du 30/12/1995</t>
  </si>
  <si>
    <t>Loi de finances pour 1995
N° 94-1162 du 29/12/1994</t>
  </si>
  <si>
    <t>Source: Lefebvre Fiscal 1989</t>
  </si>
  <si>
    <t>max_abt_dedsal</t>
  </si>
  <si>
    <t>plaf_ab_dedsal</t>
  </si>
  <si>
    <t>plaf_micro_foncier</t>
  </si>
  <si>
    <t>plaf_navire</t>
  </si>
  <si>
    <t>tx_navire</t>
  </si>
  <si>
    <t>plaf_navirecom</t>
  </si>
  <si>
    <t>DOM-TOM</t>
  </si>
  <si>
    <t>pas de limite</t>
  </si>
  <si>
    <t>plaf_SOFIPECHE</t>
  </si>
  <si>
    <t>plaf_SOFICA</t>
  </si>
  <si>
    <t xml:space="preserve">base_SOFICA </t>
  </si>
  <si>
    <t>base_SOFIPECHE</t>
  </si>
  <si>
    <t>plaf_capital_soc1</t>
  </si>
  <si>
    <t>plaf_capital_soc2</t>
  </si>
  <si>
    <t>plaf_epargnecodev</t>
  </si>
  <si>
    <t>tx_epargnecodev</t>
  </si>
  <si>
    <t>plaf_grossedepense</t>
  </si>
  <si>
    <t>tx_formachef</t>
  </si>
  <si>
    <t>plaf_formachef</t>
  </si>
  <si>
    <t xml:space="preserve">référence législative : </t>
  </si>
  <si>
    <t>tx_cotsynd</t>
  </si>
  <si>
    <t>tx_habitat</t>
  </si>
  <si>
    <t>increment_action</t>
  </si>
  <si>
    <t>plaf_action</t>
  </si>
  <si>
    <t>plaf_habitat1</t>
  </si>
  <si>
    <t>plaf_habitat2</t>
  </si>
  <si>
    <t>plaf_habitat3</t>
  </si>
  <si>
    <t>increment_habitat</t>
  </si>
  <si>
    <t>tx_avie</t>
  </si>
  <si>
    <t>plaf_avie</t>
  </si>
  <si>
    <t>increment_avie</t>
  </si>
  <si>
    <t>comptabilité</t>
  </si>
  <si>
    <t>tx_survie</t>
  </si>
  <si>
    <t>plaf_survie</t>
  </si>
  <si>
    <t>increment_survie</t>
  </si>
  <si>
    <t>plaf_PME 1</t>
  </si>
  <si>
    <t>plaf_PME 2</t>
  </si>
  <si>
    <t>tx_PME</t>
  </si>
  <si>
    <t>plaf_PME1 : sommes versées avant le 31/07/1995 (à doubler pour couple)
plaf_PME2 : sommes versées à partir du 01/08/1995 (à doubler pour couple)</t>
  </si>
  <si>
    <t>tx_rachat</t>
  </si>
  <si>
    <t>plaf_rachat</t>
  </si>
  <si>
    <t>plaf_donsintgéné</t>
  </si>
  <si>
    <t>tx_partipol</t>
  </si>
  <si>
    <t>tx_salarial</t>
  </si>
  <si>
    <t>plaf_salarial</t>
  </si>
  <si>
    <t>prêt_conso</t>
  </si>
  <si>
    <t>plaf_partipol</t>
  </si>
  <si>
    <t>tx_grostravaux</t>
  </si>
  <si>
    <t>plaf_grostravaux</t>
  </si>
  <si>
    <t>tx_prestcomp</t>
  </si>
  <si>
    <t>plaf_prestcomp</t>
  </si>
  <si>
    <t>tx_foret</t>
  </si>
  <si>
    <t>plaf_foret</t>
  </si>
  <si>
    <t>Dons effectués à des organismes d'aide aux personnes en difficulté = dons coluche
Depuis revenus 1999, regroupement des dons aux œuvres reconnues d'utilité publique, d'intérêt général et pour le financement des partis politiques et des campagnes électorales</t>
  </si>
  <si>
    <t>manquant</t>
  </si>
  <si>
    <t>plaf_conso</t>
  </si>
  <si>
    <t>tx_repsoc</t>
  </si>
  <si>
    <t>plaf_repsoc</t>
  </si>
  <si>
    <t>Sommes versées pour l'emploi d'un salarié à domicile</t>
  </si>
  <si>
    <t>taux_intagri</t>
  </si>
  <si>
    <t>plaf_intagri</t>
  </si>
  <si>
    <t>taux_incendie</t>
  </si>
  <si>
    <t>plaf_incendie</t>
  </si>
  <si>
    <t>crea_entr</t>
  </si>
  <si>
    <t>crea_entr2</t>
  </si>
  <si>
    <t>tx_monhist</t>
  </si>
  <si>
    <t>plaf_monhist</t>
  </si>
  <si>
    <t>plaf_restauimmo</t>
  </si>
  <si>
    <t>tx_restauimmo1</t>
  </si>
  <si>
    <t>tx_restauimmo2</t>
  </si>
  <si>
    <t>txSOFIPECHE</t>
  </si>
  <si>
    <t xml:space="preserve">base_SOFIPECHE </t>
  </si>
  <si>
    <t>tx_codev</t>
  </si>
  <si>
    <t>plaf_codev</t>
  </si>
  <si>
    <t xml:space="preserve">base_codev </t>
  </si>
  <si>
    <t>tx_protecpat</t>
  </si>
  <si>
    <t>plaf_protecpat</t>
  </si>
  <si>
    <t>Taxe exceptionnelle sur les hauts revenus (taxe_HR)</t>
  </si>
  <si>
    <t xml:space="preserve">loi de finances pour 2012
N° 2011-1970 </t>
  </si>
  <si>
    <t>plaf_hebergante</t>
  </si>
  <si>
    <t>tx_hebergante</t>
  </si>
  <si>
    <t>tranche1_HR</t>
  </si>
  <si>
    <t>tranche2_HR</t>
  </si>
  <si>
    <t>txmarg1_HR</t>
  </si>
  <si>
    <t>txmarg2_HR</t>
  </si>
  <si>
    <t>Paramètres afférants au calcul de l'impôt sur le revenu (IR)</t>
  </si>
  <si>
    <t>II. Calcul de l'impôt sur le revenu</t>
  </si>
  <si>
    <t>I. Calcul des revenus imposables</t>
  </si>
  <si>
    <t>III. Calcul des réductions d'impôts</t>
  </si>
  <si>
    <t>III. Calcul des crédits d'impôts</t>
  </si>
  <si>
    <t>Prestation compensatoire (prest_compen)</t>
  </si>
  <si>
    <t>Souscription au capital de SOFIPECHE (SOFIPECHE)</t>
  </si>
  <si>
    <t>Souscription de parts de fonds communs de placement dans l'innovation (FCP)</t>
  </si>
  <si>
    <t>Dépenses d’accueil dans un établissement pour personnes dépendantes (heberg_santé)</t>
  </si>
  <si>
    <t>Dépenses de gros travaux et Intérêts d'emprunt et ravallement (habitat_princ)</t>
  </si>
  <si>
    <t>Sommes versées sur un compte épargne codéveloppement (codev)</t>
  </si>
  <si>
    <t>Autres réductions d'impôts (divers)</t>
  </si>
  <si>
    <r>
      <t>Ce document présente l'ensemble de la législation permettant le calcul de l'impôt sur le revenu. Il s'agit des barèmes bruts de la législation utilisés dans le micro-simulateur de l'IPP, TAXIPP. Les sources législatives (texte de loi, numéro du décret ou arêté) ainsi que la date de publication au</t>
    </r>
    <r>
      <rPr>
        <i/>
        <sz val="11"/>
        <color theme="1"/>
        <rFont val="Calibri"/>
        <family val="2"/>
        <scheme val="minor"/>
      </rPr>
      <t xml:space="preserve"> Journal Officiel</t>
    </r>
    <r>
      <rPr>
        <sz val="11"/>
        <color theme="1"/>
        <rFont val="Calibri"/>
        <family val="2"/>
        <scheme val="minor"/>
      </rPr>
      <t xml:space="preserve"> (JO) sont systématiquement indiquées. La première ligne du fichier (masquée) indique le nom des paramètres dans TAXIPP.</t>
    </r>
  </si>
  <si>
    <t>Jonathan Goupille, jonathan.goupille@ipp.eu</t>
  </si>
  <si>
    <t>Antoine Bozio, antoine.bozio@ipp.eu</t>
  </si>
  <si>
    <t>Seuils et taux d'imposition au titre du barème de l'IR (Barème IR)</t>
  </si>
  <si>
    <t>IV. Contribution exceptionnelle sur les hauts revenus</t>
  </si>
  <si>
    <t>Pour les années avant 1995, source Piketty (1999), tableau 4-5, pp. 296-298</t>
  </si>
  <si>
    <t>Année revenus</t>
  </si>
  <si>
    <t>Année IR</t>
  </si>
  <si>
    <t>Les montants sont en anciens Francs.</t>
  </si>
  <si>
    <t>Taux de la déduction supplémentaire pour les salaires et pensions</t>
  </si>
  <si>
    <t>Taux abattement sur les salaires et pensions (abattement forfaitaire pour frais professionnels)</t>
  </si>
  <si>
    <t>Minimum abt sur les salaires</t>
  </si>
  <si>
    <t>Minimum abt  sur les salaires (chomeurs)</t>
  </si>
  <si>
    <t>Plafonnement des salaires et pensions pour la déduction supplémentaire</t>
  </si>
  <si>
    <t>Maximimum abt au titre de la déduction supplémentaire</t>
  </si>
  <si>
    <t>Maximum abt  sur les salaires</t>
  </si>
  <si>
    <t>Minimum abt sur les pensions</t>
  </si>
  <si>
    <t>Maximum abt sur les pensions</t>
  </si>
  <si>
    <t>Abattement sur produits assurance vie et assimiles</t>
  </si>
  <si>
    <t>Taux de l'abattement sur certains revenus de capitaux mobiliers (dividendes)</t>
  </si>
  <si>
    <t xml:space="preserve">Abattement forfaitaire sur certains revenus de capitaux mobiliers (dividendes) </t>
  </si>
  <si>
    <t>Tx abt sur recettes regime micro foncier</t>
  </si>
  <si>
    <t>Plafond du crédit d'impôt sur certains revenus de capitaux mobiliers (dividendes)</t>
  </si>
  <si>
    <t>Tx abt sur recettes regime micro (ventes de marchandises)</t>
  </si>
  <si>
    <t>Tx abt sur recettes regime micro (Prest. de services)</t>
  </si>
  <si>
    <t>Montant minimum de l'abt regime micro</t>
  </si>
  <si>
    <t>Plafond de recettes pr application du regime micro (marchandises)</t>
  </si>
  <si>
    <t>Plafond de recettes pr application du régime micro-foncier</t>
  </si>
  <si>
    <t>Plafond de recettes pr application du regime micro (services)</t>
  </si>
  <si>
    <t>Tx abt sur recettes regime micro BNC</t>
  </si>
  <si>
    <t>Plafond de l'imputation des déficits fonciers sur le revenu global</t>
  </si>
  <si>
    <t xml:space="preserve">Plafond de revenu net global au-dessus duquel il n'y a plus d'imputation des deficits agricoles sur le revenu global </t>
  </si>
  <si>
    <t>Jusqu'à l'imposition des revenus de 1998, les régimes spéciaux  (appelé micro et micro_service ici) concernent les locations meublés non professionnelles, les BIC non professionnelles (depuis 98 seulement) et les autres activités industrielles et commerciales</t>
  </si>
  <si>
    <t>Plafond de la deduction pr frais d'accueil d'une personne de plus de 75 ans</t>
  </si>
  <si>
    <t>Plafond de la deduction pour pension alimentaire</t>
  </si>
  <si>
    <t>Deduction minimum pr versements sur PERP</t>
  </si>
  <si>
    <t>Deduction maximum pr versements sur PERP</t>
  </si>
  <si>
    <t xml:space="preserve">Plafond de la reduc  pour souscriptions parts de SOFICA </t>
  </si>
  <si>
    <t>Plafond de la reduc  pour souscriptions parts de SOFICA  en % du rev net global</t>
  </si>
  <si>
    <t>Plafond des déductions pr acquisition navire</t>
  </si>
  <si>
    <t>Taux de déduction pr acquisition navire</t>
  </si>
  <si>
    <t>Plafond des déductions pour navires de commerce</t>
  </si>
  <si>
    <t>Plafond de déductions pr pertes en capital sociétés nouvelles</t>
  </si>
  <si>
    <t>Plafond de déductions investissement DOM-TOM</t>
  </si>
  <si>
    <t>Plafond de déductions pr souscription parts SOFIPECHE</t>
  </si>
  <si>
    <t>Plafond de la reduc  pour souscriptions parts de SOFIPECHE  en % du rev net global</t>
  </si>
  <si>
    <t>Supplément de déductions par enfant pr investissement actions</t>
  </si>
  <si>
    <t>Plafond de déductions pr investissement actions</t>
  </si>
  <si>
    <t>Plafond de la reduc  pr versement compte épargne codev  en % du rev net global</t>
  </si>
  <si>
    <t xml:space="preserve">Plafond de la reduc  pr versement compte épargne codev  </t>
  </si>
  <si>
    <t>Plafond des déductions pour grosses réparations</t>
  </si>
  <si>
    <t>Loi de finances pour 2011
 N° 2010-1657 DU 29/12/2010</t>
  </si>
  <si>
    <t>Loi de finances pour 2010
 N° 2009-1673 DU 30/12/2009</t>
  </si>
  <si>
    <t>Loi de finances pour 2009
 N° 2008-1425 DU 27 /12/2008</t>
  </si>
  <si>
    <t>Loi de finances pour 2008
 N° 2007-1822 DU 24/12/2007</t>
  </si>
  <si>
    <t>Loi de finances pour 2007
 N° 2006-1666 DU 21/12/2006</t>
  </si>
  <si>
    <t>Loi de finances pour 2006
 N° 2005-1719 DU 30 /12/2005</t>
  </si>
  <si>
    <t>Loi de finances pour 2005
 N° 2004-1484 DU 30/12/2004</t>
  </si>
  <si>
    <t>Loi de finances pour 2004
 N° 2003-1311 DU 30/12/2003</t>
  </si>
  <si>
    <t>Loi de finances pour 2003
 N° 2002-1575 DU 30/12/2002</t>
  </si>
  <si>
    <t>Loi de finances pour 2002
 N° 2001-1275 DU 28/12/2001</t>
  </si>
  <si>
    <t>Loi de finances pour 2001
 N° 2000-1352 DU 30/12/2000</t>
  </si>
  <si>
    <t>Loi de finances pour 2000
 N° 99-1172 DU 30/12/1999</t>
  </si>
  <si>
    <t>Loi de finances pour 1999
 N° 98-1266 DU 30/12/1998</t>
  </si>
  <si>
    <t>Loi de finances pour 1998
 N° 97-1269 DU 30/12/1997</t>
  </si>
  <si>
    <t>Loi de finances pour 1997
 N° 96-1181 DU 30/12/1996</t>
  </si>
  <si>
    <t>Loi de finances pour 1996 
N° 95-1346 DU 30/12/1995</t>
  </si>
  <si>
    <t>Loi de finances pour 1995 
N° 94-1162 DU 29/12/1994</t>
  </si>
  <si>
    <r>
      <t xml:space="preserve">Abattement de 10% salaire et chômeur : 3 de l'article 83 du CGI 
Abattement de 10% pensions et retraites 
Abt supplémentaire de 20% : 5 de l'article 158 du CGI
</t>
    </r>
    <r>
      <rPr>
        <sz val="11"/>
        <color theme="6"/>
        <rFont val="Calibri"/>
        <family val="2"/>
        <scheme val="minor"/>
      </rPr>
      <t>Les données en vert représentent une estimation des paramètres pour l'année 2012.</t>
    </r>
  </si>
  <si>
    <t>Plafond du crédit d'impôt sur dividendes : article 200 septies du CGI supprimé par LF 2011
Abt forfaitaire sur dividendes  : 5 de l'article 158 du CGI mise en place par loi de finances pour 1994
Taux de l'abattement sur dividendes : 2° du 3 de l'article 158 du CGI (ancêtre de tx_abt_rcm : art 158 bis du CGI)
Abattement sur assurance-vie : I de l'article 125 0-A</t>
  </si>
  <si>
    <t>Plafonnement de l'imputations des déficits agricoles  : 1° du I de l'article 156 du CGI
Plafond déficits fonciers : 3° du I de l'article 156 du CGI
Régime micro-BIC : 1 de l'article 50-0 du CGI 
Régime micro-BNC : 1 de l'article 102 ter du CGI
Régime micro foncier : 1 de l'article 32 du CGI</t>
  </si>
  <si>
    <t>Loi de finances pour 2011
N° 2010-1657 DU 29/12/2010</t>
  </si>
  <si>
    <t>Loi de finances pour 2010
N° 2009-1673 DU 30/12/2009</t>
  </si>
  <si>
    <t>Loi de finances pour 2009
N° 2008-1425 DU 27 /12/2008</t>
  </si>
  <si>
    <t>Loi de finances pour 2008
N° 2007-1822 DU 24/12/2007</t>
  </si>
  <si>
    <t>Loi de finances pour 2007
N° 2006-1666 DU 21/12/2006</t>
  </si>
  <si>
    <t>Loi de finances pour 2006
N° 2005-1719 DU 30 /12/2005</t>
  </si>
  <si>
    <t>Loi de finances pour 2005
N° 2004-1484 DU 30/12/2004</t>
  </si>
  <si>
    <t>Loi de finances pour 2004
N° 2003-1311 DU 30/12/2003</t>
  </si>
  <si>
    <t>Loi de finances pour 2003
N° 2002-1575 DU 30/12/2002</t>
  </si>
  <si>
    <t>Loi de finances pour 2001
N° 2000-1352 DU 30/12/2000</t>
  </si>
  <si>
    <t>Loi de finances pour 2000
N° 99-1172 DU 30/12/1999</t>
  </si>
  <si>
    <t>Loi de finances pour 1999
N° 98-1266 DU 30/12/1998</t>
  </si>
  <si>
    <t>Loi de finances pour 1998
N° 97-1269 DU 30/12/1997</t>
  </si>
  <si>
    <t>Loi de finances pour 1997
N° 96-1181 DU 30/12/1996</t>
  </si>
  <si>
    <t>Loi de finances pour 1996
N° 95-1346 DU 30/12/1995</t>
  </si>
  <si>
    <t>Loi de finances pour 1995
N° 94-1162 DU 29/12/1994</t>
  </si>
  <si>
    <t>Loi de finances pour 2002
N° 2001-1275 DU 28/12/2001</t>
  </si>
  <si>
    <t>_ Plafond frais personnes de plus de 75 ans : 2° ter du II de l'article 156 du CGI
_ Plafond pension alimentaire : article 196 B du CGI
_ Déductions pour PERP : art. 163 quatervicies
_ Acquisition navire : plafond à doubler pour les couples mariés ou pacsés  (acquisitions de parts de copropriété de navires neufs)
_ Pertes en capital consécutives à la souscription au capital de sociétés nouvelles ou de sociétés en difficulté : 
plafonnement à doubler  pour les couples mariés ou pacsés, à partir de l'imposition des revenus de 2004, différence entre pertes en capital souscription du 01/01/1994 = plaf_capita_soc1 et pertes en capital souscriptions à compter du 01/01/2003 = plaf_capital_soc2, le total des pertes reportés dans les deux cas ne peut excéder plaf_capital_soc2)
_ Détaxation du revenu investi en actions : détaxation limitée à plaf_action + increment_action par enfant jusqu'au deuxième + 2*increment_action par enfant à charge à partir du 3ème enfant
_ Souscriptions de parts de copropriété de navires de commerce soumise à agrément : plaf_navirecom (à doubler pour couples mariés ou pacsés)
_ SOFICA devient un crédit d'impôt à partir de la déclaration des revenus de 2006 (aller à onglet SOFICA)
_ Versements sur un compte épargne codéveloppement : montant versé dans la limite de 25% du revenu et de 20 000 euros par personne du foyer fiscal
_ Investissement DOM-TOM devient investissement DOM-TOM dans le cadre d'une entreprise (à partir de revenus de 1999)</t>
  </si>
  <si>
    <t>Montant de l'abt pour personne agee de + de 65 ans</t>
  </si>
  <si>
    <t>Plafond de ressources n°1 pour calcul de l'abt pour personne agee de plus de 65 ans</t>
  </si>
  <si>
    <t>Plafond de ressources n°2 pour calcul de l'abt pour personne agee de plus de 65 ans</t>
  </si>
  <si>
    <t>Montant de l'abt pour rattacht d'enfants maries</t>
  </si>
  <si>
    <t>loi de finances pour 2002
N° 2001-1275 DU 28/12/2001 - art. 2</t>
  </si>
  <si>
    <t>loi de finances pour 1999
N° 98-1266 DU 30/12/1998 - art. 2</t>
  </si>
  <si>
    <t>loi de finances pour 1998
N° 97-1269 DU 30/12/1997 - art. 2</t>
  </si>
  <si>
    <t>loi de finances pour 1997
N° 96-1181 DU 30/12/1996 - art. 2</t>
  </si>
  <si>
    <t>loi de finances pour 1996
N° 95-1346 DU 30/12/1995 - art. 2</t>
  </si>
  <si>
    <t>loi de finances pour 1995
N° 94-1162 DU 29/12/1994 - art. 2</t>
  </si>
  <si>
    <t>_ Abattement et plafond de ressources pour personne âgée : article 157 bis du CGI (abt doublé si le conjoint répond aux mêmes conditions)
_ Abattement pour rattachement d'enfants mariés : article 196 B du CGI (Abt par personne rattachée (à doubler dans le cas d'un jeune ménage ou d'un célibataire avec jeune enfant, à tripler pour couple avec enfant rattaché))</t>
  </si>
  <si>
    <t>Conditions de ressources pour exonération d'IR (+ de 65 ans)</t>
  </si>
  <si>
    <t>Exonération de revenus des apprentis à l'IR</t>
  </si>
  <si>
    <t>Conditions de ressources pour exonération d'IR
 (- de 65 ans)</t>
  </si>
  <si>
    <t xml:space="preserve">_ Conditions de ressources pour exonération IR : 2° bis de l'article 5 du CGI 
Les plafonds font référence aux revenus nets de frais professionnels.
_ Exonération apprentis : fraction du salaire des apprentis exonérée d'IR jusqu'en 2005 inclus : 2°bis de l'art. 5 du CGI, à compter de 2006, ce montant est égal au montant annuel du SMIC
</t>
  </si>
  <si>
    <t>Seuil de la 1ère tranche du bareme de l'IR</t>
  </si>
  <si>
    <t>Seuil de la 2ème tranche du bareme de l'IR</t>
  </si>
  <si>
    <t>Seuil de la 3ème tranche du bareme de l'IR</t>
  </si>
  <si>
    <t>Seuil de la 4ème tranche du bareme de l'IR</t>
  </si>
  <si>
    <t>Seuil de la 5ème tranche du bareme de l'IR</t>
  </si>
  <si>
    <t>Seuil de la 6ème tranche du bareme de l'IR</t>
  </si>
  <si>
    <t>Seuil de la 7ème tranche du bareme de l'IR</t>
  </si>
  <si>
    <t>Seuil de la 8ème tranche du bareme de l'IR</t>
  </si>
  <si>
    <t>Seuil de la 9ème tranche du bareme de l'IR</t>
  </si>
  <si>
    <t>Seuil de la 10ème tranche du bareme de l'IR</t>
  </si>
  <si>
    <t>Seuil de la 11ème tranche du bareme de l'IR</t>
  </si>
  <si>
    <t>Seuil de la 12ème tranche du bareme de l'IR</t>
  </si>
  <si>
    <t>Seuil de la 13ème tranche du bareme de l'IR</t>
  </si>
  <si>
    <t>Seuil de la 14ème tranche du bareme de l'IR</t>
  </si>
  <si>
    <t>Tx marginal de la 1ère tranche du bareme de l'IR</t>
  </si>
  <si>
    <t>Tx marginal de la 2ème tranche du bareme de l'IR</t>
  </si>
  <si>
    <t>Tx marginal de la 3ème tranche du bareme de l'IR</t>
  </si>
  <si>
    <t>Tx marginal de la 4ème tranche du bareme de l'IR</t>
  </si>
  <si>
    <t>Tx marginal de la 5ème tranche du bareme de l'IR</t>
  </si>
  <si>
    <t>Tx marginal de la 6ème tranche du bareme de l'IR</t>
  </si>
  <si>
    <t>Tx marginal de la 7ème tranche du bareme de l'IR</t>
  </si>
  <si>
    <t>Tx marginal de la 8ème tranche du bareme de l'IR</t>
  </si>
  <si>
    <t>Tx marginal de la 9ème tranche du bareme de l'IR</t>
  </si>
  <si>
    <t>Tx marginal de la 10ème tranche du bareme de l'IR</t>
  </si>
  <si>
    <t>Tx marginal de la 11ème tranche du bareme de l'IR</t>
  </si>
  <si>
    <t>Tx marginal de la 12ème tranche du bareme de l'IR</t>
  </si>
  <si>
    <t>Tx marginal de la 13ème tranche du bareme de l'IR</t>
  </si>
  <si>
    <t>Tx marginal de la 14ème tranche du bareme de l'IR</t>
  </si>
  <si>
    <t>Ensemble du barème année par année : article 197 du CGI.</t>
  </si>
  <si>
    <t>intégration de l'abattement de 20% au barème de l'impôt sur le revenu + diminution du nombre de tranches de 7 à 5.</t>
  </si>
  <si>
    <t>Loi de finances rectificative pour 2001
N° 2001-1276 du 28 décembre 2001 art.51</t>
  </si>
  <si>
    <t>Loi de finances rectificative pour 2000
Loi de finances pour 2000</t>
  </si>
  <si>
    <t>Plafond des avantages procure par demi-part de QF (plafond général)</t>
  </si>
  <si>
    <t>Plafond des avantages procure par part de QF (part complète obtenue pour le 1er enfant des parents isolés)</t>
  </si>
  <si>
    <t>Plafond des avantages procure par demi-part de QF (demi part obtenue par les personnes seules ayant eus des enfants)</t>
  </si>
  <si>
    <t>Plafond des avantages procure par demi-part de QF (invalidité)</t>
  </si>
  <si>
    <t>paramètre calcul decote</t>
  </si>
  <si>
    <t>Changement de calcul de la décote</t>
  </si>
  <si>
    <t xml:space="preserve">Création part qf personne seule : 
art.2 loi de finances pour 1998 </t>
  </si>
  <si>
    <t xml:space="preserve">création part qf invalidité :
art.3 loi de finances pour 1999 </t>
  </si>
  <si>
    <t>Taux général d'imposition des plus-values mobilières et des plus-professionnelles</t>
  </si>
  <si>
    <t>Taux spécial d'imposition des plus-values mobilières (levées d'options attribuées depuis 27/4/2000 &amp; cessions réalisées moins de deux ans après la levée)</t>
  </si>
  <si>
    <t>Taux spécial d'imposition des plus-values mobilières (levées d'options attribuées avant 27/4/2000 ou cessions réalisées plus de deux ans après la levée et pv supérieure à 150 000 euros)</t>
  </si>
  <si>
    <t>Seuil d'imposition de la 2 ème  tranche pour les levées d'options</t>
  </si>
  <si>
    <t>Taux d'imposition PEA</t>
  </si>
  <si>
    <t>Seuil d'imposition des plus-values</t>
  </si>
  <si>
    <t xml:space="preserve">_ Seuil d'imposition des plus-values : art 150-0 A du CGI supprimé par LF 2011
Avant 2001 : art 92 B du CGI
_ Taux d'imposition des plus-values et des PEA : article 200 A du CGI
</t>
  </si>
  <si>
    <t>Création de tx_pv1 et seuil_pv1 : pour les options attribuées à compter du 27/04/2000</t>
  </si>
  <si>
    <t>Création de tx_pv2 : pour les options attribuées à compter du 20/09/95</t>
  </si>
  <si>
    <t>Dons Coluche : 1 ter de l'article 200 du CGI
Dons : 1 de l'article 200 du CGI</t>
  </si>
  <si>
    <t>Plafonnement des dons retenus pour la reduc d'impot Coluche</t>
  </si>
  <si>
    <t>Tx reduction impot Dons Coluche</t>
  </si>
  <si>
    <t>tx reduction d'impot dons aux oeuvres</t>
  </si>
  <si>
    <t>Plafond de la reduction d'impot pour dons en % du revenu net global</t>
  </si>
  <si>
    <t>plafond dons d'intérêt général</t>
  </si>
  <si>
    <t>Tx reduction impot dons partis politiques</t>
  </si>
  <si>
    <t>Plafonnement des dons retenus pour la reduc d'impot aux partis politiques</t>
  </si>
  <si>
    <t>Taux de la reduc d'impot pr cotisations syndicales</t>
  </si>
  <si>
    <t>plafond des cotisations pour réductions d'impôt</t>
  </si>
  <si>
    <t>référence législative :</t>
  </si>
  <si>
    <t>tx de la reduc pour souscriptions parts de SOFIPECHE</t>
  </si>
  <si>
    <t>plafd de la reduc  pour souscriptions parts de SOFIPECHE</t>
  </si>
  <si>
    <t>plafd de la reduc  pour souscriptions parts de SOFIPECHE  en % du rev net global</t>
  </si>
  <si>
    <t>Souscription au capital dune SOFIPECHE : plafonnement à doubler pour couple</t>
  </si>
  <si>
    <t>Réintroduction du dispositif en tant que réduction d'impôt</t>
  </si>
  <si>
    <t>Suppression</t>
  </si>
  <si>
    <t>Création sous forme de charge déductible du revenu global</t>
  </si>
  <si>
    <t>Plafond des depenses retenues pour emploi d'un salarie à domicile</t>
  </si>
  <si>
    <t>Increment du plafd de depense pour salarie à domicile</t>
  </si>
  <si>
    <t>Taux de la reduc/credit d'impot pour emploi d'un salarie à domicile</t>
  </si>
  <si>
    <t>Plafond maximum des depenses pour emploi d'un salarie à domicile</t>
  </si>
  <si>
    <t>Plafond pour emploi d'un salarie à domicile pers invalide</t>
  </si>
  <si>
    <t>loi de finances rectificative pour 2006
N° 2006-1771 Du 30/12/2006</t>
  </si>
  <si>
    <t>Méthode de calcul : en 2011, les dépenses sont retenues dans la limite d'un plafond annuel de 12 000 € , majorée de 1 500 € par enfant à charge et par membre du foyer âgé de plus de 65 ans, sans toutefois dépasser 15 000 € .   Le plafond est porté à 20 000 € en cas d'invalidité</t>
  </si>
  <si>
    <t>Depuis le 01/01/2010, pour la première utilisation du dispositif, les limites du plafonnement  passent de 12 000 € à 15 000 € et de 15 000 € à 18 000 €.</t>
  </si>
  <si>
    <t>Création d'un plafond supérieur pour les invalides</t>
  </si>
  <si>
    <t>Taux de réductions d'impôt prestation compensatoire</t>
  </si>
  <si>
    <t>Plafond pour prestation compensatoire</t>
  </si>
  <si>
    <t xml:space="preserve">Taux de la reduc d'impot pour souscriptions de parts de FCP </t>
  </si>
  <si>
    <t>Taux de la reduc d'impot pour souscriptions de parts de FCP en Corse</t>
  </si>
  <si>
    <t xml:space="preserve">Plafond des souscriptions de parts de FCP </t>
  </si>
  <si>
    <r>
      <t xml:space="preserve"> Souscriptions de parts de fonds communs de placement dans l'innovation ou de fonds d'investissements de proximité
</t>
    </r>
    <r>
      <rPr>
        <sz val="11"/>
        <rFont val="Calibri"/>
        <family val="2"/>
        <scheme val="minor"/>
      </rPr>
      <t xml:space="preserve">
Plafond à doubler pour couples mariés ou pacsés</t>
    </r>
  </si>
  <si>
    <t>Taux de la reduc pour souscriptions parts de SOFICA</t>
  </si>
  <si>
    <t>Taux de la reduc pour souscriptions parts de SOFICA (2)</t>
  </si>
  <si>
    <t xml:space="preserve">Plafdon de la reduc  pour souscriptions parts de SOFICA </t>
  </si>
  <si>
    <t xml:space="preserve">       </t>
  </si>
  <si>
    <t>SOFICA : article 46 quindecies E du CGI jusqu'au 1er janvier 2007
                   article 199 unvicies à compter du 1er janvier 2007</t>
  </si>
  <si>
    <t>Devient une réduction d'impôt =&gt; changement de méthode de calcul</t>
  </si>
  <si>
    <t>Charge déductible du revenu global</t>
  </si>
  <si>
    <t>Taux de la reduc pour souscriptions aux parts de PME</t>
  </si>
  <si>
    <t>plafd de la reduc d'impot pour souscription au K d'une PME</t>
  </si>
  <si>
    <t>plafd de la reduc d'impot pour souscription au K d'une PME (2)</t>
  </si>
  <si>
    <t>Souscription au capital des PME : 1° du I de l'article 199 terdecies OA du CGI</t>
  </si>
  <si>
    <t>Plafond des depenses d'investissement forestier</t>
  </si>
  <si>
    <t>Taux de la reduc d'impot pour investissement forestiers</t>
  </si>
  <si>
    <t>Taux de la reduc d'impot pour défense des forêts contre l'incendie</t>
  </si>
  <si>
    <t>Plafond des depenses pour défense des forêts contre l'incendie</t>
  </si>
  <si>
    <t xml:space="preserve"> Investissements forestiers renommés Investissements et travaux forestiers  
Création d'une réduction d'impôt pour la défense des forêts contre l'incendie</t>
  </si>
  <si>
    <t>Montant de la reduc pour enfant scolarises
 College</t>
  </si>
  <si>
    <t>Montant de la reduc pour enfant scolarises
Lycée</t>
  </si>
  <si>
    <t>Montant de la reduc pour enfant scolarises
Université</t>
  </si>
  <si>
    <t>Rénommée Dépenses d'hébergement dans un établissement de long séjour ou pour personnes âgées dépendantes ou dans une section de cure médicale</t>
  </si>
  <si>
    <t>Renommée Dépenses liées à la dépendance en cas d'accueil dans un établissement pour personnes âgées dépendantes ou frais d'hébergement dans une section de soins de longue durée ou de cure médicale</t>
  </si>
  <si>
    <t>Renommée Dépenses d'accueil dans un établissement pour personnes âgées dépendantes</t>
  </si>
  <si>
    <t>Renommée Dépenses liées à la dépendance ou frais d'accueil (à partir de 2003, le plafonnement s'applique par personne dépendante)</t>
  </si>
  <si>
    <t xml:space="preserve">Dépenses d'hébergement dans un établissement de long séjour ou une section de cure médicale
</t>
  </si>
  <si>
    <t>Taux réductions d'impôt pour dépenses d'accueuil dans établissement pr personnes âgées</t>
  </si>
  <si>
    <t>Plafonnement des dépenses d'accueuil dans établissement pr personnes âgées</t>
  </si>
  <si>
    <t>Seuil d'éligibilité à la PPE (seuil de RFR du foyer pour une personne seule)</t>
  </si>
  <si>
    <t>Seuil d'éligibilité à la PPE (seuil de RFR du foyer pour un couple marié ou pacsé)</t>
  </si>
  <si>
    <t>Seuil d'éligibilité à la PPE (augmentation du seuil par demi-part de QF au-delà de 1 ou 2)</t>
  </si>
  <si>
    <t xml:space="preserve">Seuil d'éligibilité à la PPE (revenu d'activité individuel minimum)   </t>
  </si>
  <si>
    <t>Seuil d'éligibilité à la PPE (revenu d'activité individuel permettant d'obtenir la PPE à taux plein, cas général)</t>
  </si>
  <si>
    <t>Seuil d'éligibilité à la PPE (revenu d'activité individuel maximum, cas général)</t>
  </si>
  <si>
    <t>Seuil d'éligibilité à la PPE (revenu d'activité individuel permettant d'obtenir la PPE à taux plein, cas particulier couples mono-revenus)</t>
  </si>
  <si>
    <t>Seuil d'éligibilité à la PPE (revenu d'activité individuel maximum, cas particulier couples mono-emploi et parents isolés)</t>
  </si>
  <si>
    <t>Coefficient de majoration PPE pour temps partiel</t>
  </si>
  <si>
    <t>Coefficient de majoration PPE pour temps partiel (2)</t>
  </si>
  <si>
    <t>Supplément de ppe pour les couples mono-emploi</t>
  </si>
  <si>
    <t>Supplément de ppe par personne à charge</t>
  </si>
  <si>
    <t xml:space="preserve"> </t>
  </si>
  <si>
    <t>Montant de PPE minimum</t>
  </si>
  <si>
    <t>Taux de la PPE 
(phase-in)</t>
  </si>
  <si>
    <t>Taux de retrait la PPE (phase-out) 
(cas général)</t>
  </si>
  <si>
    <t>Taux de retrait la PPE (phase-out) 
(cas particulier couples mono-emploi)</t>
  </si>
  <si>
    <t>BOI 5 B-9-08
n°27 DU 03/03/2008</t>
  </si>
  <si>
    <t>BOI 5 B-8-07
n°45 DU 27/03/2007</t>
  </si>
  <si>
    <t>BOI 5 B-16-06
n°82 DU 17/05/2006</t>
  </si>
  <si>
    <t>BOI 5 B-2-05
n°11 DU 17/01/2005</t>
  </si>
  <si>
    <t>BOI 5 B-11-04
n°103 DU 22/06/2004</t>
  </si>
  <si>
    <t>BOI 5 B-12-03
n°102 DU 06/06/2003</t>
  </si>
  <si>
    <t>BOI 5 B-12-02
n°100 DU 06/06/2002</t>
  </si>
  <si>
    <t>BOI 5 B-12-01
n°114 DU 26/06/2001</t>
  </si>
  <si>
    <t>Plafonnement total des niches = plafonnement des niches + taux de plafonnement * revenu net imposable</t>
  </si>
  <si>
    <t>Taux de plafonnement des niches</t>
  </si>
  <si>
    <t>Plafonnement forfaitaire des niches</t>
  </si>
  <si>
    <t>Seuil de la 1ère tranche du bareme de la taxe sur les hauts revenus</t>
  </si>
  <si>
    <t>Seuil de la 2ème tranche du bareme de la taxe sur les hauts revenus</t>
  </si>
  <si>
    <t>Tx marginal de la 1ère tranche du bareme dela taxe sur les hauts revenus</t>
  </si>
  <si>
    <t>Tx marginal de la 2ème tranche du bareme dela taxe sur les hauts revenus</t>
  </si>
  <si>
    <t xml:space="preserve">création par art.2 de loi de finances pour 2012
</t>
  </si>
  <si>
    <t>Les seuils du barème exprimés ici sont pour les célibataires. Il faut donc les doubler pour les couples mariés ou pacsés .
 Assiette = revenu fiscal de référence.</t>
  </si>
  <si>
    <t>Taux du credit d'impot pour frais de garde d'enfants</t>
  </si>
  <si>
    <t>plafond des depenses éligibles au credit d'impot pour frais de garde d'enfants</t>
  </si>
  <si>
    <t>Frais de garde des enfants à l'extérieur du domicile 
Le plafond est exprimé par enfant.</t>
  </si>
  <si>
    <t>Taux de la réduction d'impôt pour intérêts d'emprunt</t>
  </si>
  <si>
    <t>Plafonnement des intérêts d'emprunts pour réduction d'impôt</t>
  </si>
  <si>
    <t>increment du plafond pour intérêts d'emprunt</t>
  </si>
  <si>
    <t>Taux de la réduction d'impôt pour dépenses de gros travaux</t>
  </si>
  <si>
    <t>Plafonnement des dépenses de gros travaux pour réduction d'impôt</t>
  </si>
  <si>
    <t>Dépenses de gros travaux avec même increment que habitat et majoration comme dans 2 et 3 : 
attention plafond réel = la moitié du plafond reporté ici + incrément</t>
  </si>
  <si>
    <t>Intérêts d'emprunt et ravallement
increment :
increment par personne à charge pour cas 1
increment par personne à charge majoré de 500 Fr pour le 2° enfant  et de 1000 Fr à partir du 3° pour 2 et 3
Les plafonds de 1, 2 et 3 ne se cumulent pas.
plaf_habitat 3 à doubler pour couple (mais pas paf_habitat1 ni pour plaf_habitat 2)
majoration année 2001 (revenus) 381 euros pour le 2° enfant et 457 à partir du 3°</t>
  </si>
  <si>
    <t>Sommes versées sur un compte épargne codéveloppement
plafonnement par foyer fiscal</t>
  </si>
  <si>
    <t>Taux de réduction d'impôt pour sommes versées sur compte épargne co-developpement</t>
  </si>
  <si>
    <t>plafonnement forfaitaire sommes versés sur compte épargne codéveloppement</t>
  </si>
  <si>
    <t>Plafonnement en % du revenu net global</t>
  </si>
  <si>
    <t>Taux de réductions d'impôt  pour dépense formation chef d'entreprise</t>
  </si>
  <si>
    <t>plafonnement dépenses formation chef d'entreprise</t>
  </si>
  <si>
    <t>Taux de réduction d'impôt assurances-vie</t>
  </si>
  <si>
    <t>Plafonnement assurances-vie</t>
  </si>
  <si>
    <t>increment assurances-vie</t>
  </si>
  <si>
    <t>Réductions d'impôts pour frais de comptailité</t>
  </si>
  <si>
    <t>taux de réduction pour rente survie</t>
  </si>
  <si>
    <t>Plafonnement rentes survie</t>
  </si>
  <si>
    <t>incrément rentes survie</t>
  </si>
  <si>
    <t>Taux réduction rachat d'entreprise</t>
  </si>
  <si>
    <t>Plafonnement rachat d'entreprise</t>
  </si>
  <si>
    <t>Taux de réduction versement fond salarial</t>
  </si>
  <si>
    <t>Plafonnement versement fonds salarial</t>
  </si>
  <si>
    <t>Taux de réduction intérêts prêt à la consommation</t>
  </si>
  <si>
    <t>Plafonnement intérêts prêt consommation</t>
  </si>
  <si>
    <t>Taux réduction intérêt d'emprunt pour reprise de société</t>
  </si>
  <si>
    <t>Plafonnement intérêt d'emprunt pour reprise de société</t>
  </si>
  <si>
    <t>Plafonnement intérêt paiement différé agriculteurs</t>
  </si>
  <si>
    <t>taux réduction intérêt paiement différé agriculteurs</t>
  </si>
  <si>
    <t>Paramètres calcul aide aux repreneurs d'entreprise 1</t>
  </si>
  <si>
    <t>Paramètres calcul aide aux repreneurs d'entreprise 2</t>
  </si>
  <si>
    <t>taux réduction dépenses de restauration monuments historiques</t>
  </si>
  <si>
    <t>Plafonnement dépenses restauration monument historique</t>
  </si>
  <si>
    <t>Taux réduction restauration immobilière 1</t>
  </si>
  <si>
    <t>Taux réduction restauration immobilière 2</t>
  </si>
  <si>
    <t>Plafonnement dépenses travaux restauration immobilière</t>
  </si>
  <si>
    <t>Taux réduction protection patrimoine naturel</t>
  </si>
  <si>
    <t>Plafonnement dépenses protection patrimoine naturel</t>
  </si>
  <si>
    <t xml:space="preserve">
</t>
  </si>
  <si>
    <r>
      <rPr>
        <u/>
        <sz val="11"/>
        <rFont val="Calibri"/>
        <family val="2"/>
        <scheme val="minor"/>
      </rPr>
      <t>Intitulé exacte et notes relatives aux différentes réductions d'impôts :</t>
    </r>
    <r>
      <rPr>
        <sz val="11"/>
        <rFont val="Calibri"/>
        <family val="2"/>
        <scheme val="minor"/>
      </rPr>
      <t xml:space="preserve">
_ Dépenses de formation du chef d'entreprise individuelle : ensemble des dépenses effectuées entre le 01/01/1994 et le 31/12/1996
_ Assurance-vie : Attention, montant reporté case MG ouvre droit à la réduction sans condition, ceux reportés case MH sont sous condition que l'impôt de référence soit inférieur ou égal à 7000 Fr
_ Frais de comptabilité et d'adhésion à un CGA ou AA : recettes ne doivzent pas excéder la limite du forfait ou de l'évaluation administrativce. Montant par exploitation
_ Rente survie et contrat d'épargne handicap
_ Rachat d'entreprise par salarié : plafond à doubler pour couple
_ Versements à un fonds salarial
_ Intérêt des prêts à la consommation
_ Intérêts d'emprunts pour reprise de société : plafond à doubler pour couple (peut avoir été instauré entr 2002 et 2004 à savoir)
_ Intérêts pour paiement différé accordé aux agriculteurs : plafond à doubler pour couple
_ Aide aux créateurs et repreneurs d'entreprise
_ Travaux de conservation et de restauration d'objets classés monuments historiques
_ Travaux de restauration immobilière
_ Dépense de protection du patrimoine naturel</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</si>
</sst>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0\ &quot;€&quot;"/>
    <numFmt numFmtId="165" formatCode="#,##0\ [$FRF]"/>
    <numFmt numFmtId="166" formatCode="_-* #,##0.00\ _F_-;\-* #,##0.00\ _F_-;_-* &quot;-&quot;??\ _F_-;_-@_-"/>
    <numFmt numFmtId="167" formatCode="0.000000"/>
    <numFmt numFmtId="168" formatCode="0.0%"/>
    <numFmt numFmtId="169" formatCode="#,##0.00\ &quot;€&quot;"/>
    <numFmt numFmtId="170" formatCode="\$#,##0\ ;\(\$#,##0\)"/>
    <numFmt numFmtId="171" formatCode="0.0000"/>
  </numFmts>
  <fonts count="28" x14ac:knownFonts="1">
    <font>
      <sz val="11"/>
      <color theme="1"/>
      <name val="Calibri"/>
      <family val="2"/>
      <scheme val="minor"/>
    </font>
    <font>
      <sz val="11"/>
      <color theme="1"/>
      <name val="Calibri"/>
      <family val="2"/>
      <scheme val="minor"/>
    </font>
    <font>
      <b/>
      <sz val="12"/>
      <color theme="8" tint="-0.249977111117893"/>
      <name val="Calibri"/>
      <family val="2"/>
      <scheme val="minor"/>
    </font>
    <font>
      <u/>
      <sz val="11"/>
      <color theme="10"/>
      <name val="Calibri"/>
      <family val="2"/>
    </font>
    <font>
      <u/>
      <sz val="11"/>
      <color theme="8" tint="-0.249977111117893"/>
      <name val="Calibri"/>
      <family val="2"/>
      <scheme val="minor"/>
    </font>
    <font>
      <i/>
      <sz val="11"/>
      <color theme="1"/>
      <name val="Calibri"/>
      <family val="2"/>
      <scheme val="minor"/>
    </font>
    <font>
      <sz val="10"/>
      <name val="Arial"/>
      <family val="2"/>
    </font>
    <font>
      <b/>
      <sz val="10"/>
      <name val="Arial"/>
      <family val="2"/>
    </font>
    <font>
      <sz val="9"/>
      <name val="Arial"/>
      <family val="2"/>
    </font>
    <font>
      <sz val="9"/>
      <color theme="1"/>
      <name val="Arial"/>
      <family val="2"/>
    </font>
    <font>
      <b/>
      <sz val="11"/>
      <color theme="1"/>
      <name val="Calibri"/>
      <family val="2"/>
      <scheme val="minor"/>
    </font>
    <font>
      <sz val="11"/>
      <name val="Calibri"/>
      <family val="2"/>
      <scheme val="minor"/>
    </font>
    <font>
      <b/>
      <sz val="10"/>
      <color theme="1"/>
      <name val="Arial"/>
      <family val="2"/>
    </font>
    <font>
      <b/>
      <sz val="11"/>
      <name val="Calibri"/>
      <family val="2"/>
      <scheme val="minor"/>
    </font>
    <font>
      <sz val="11"/>
      <name val="Calibri"/>
      <family val="2"/>
    </font>
    <font>
      <sz val="11"/>
      <color rgb="FFFF0000"/>
      <name val="Calibri"/>
      <family val="2"/>
      <scheme val="minor"/>
    </font>
    <font>
      <i/>
      <u/>
      <sz val="11"/>
      <color theme="1"/>
      <name val="Calibri"/>
      <family val="2"/>
      <scheme val="minor"/>
    </font>
    <font>
      <b/>
      <sz val="11"/>
      <color rgb="FFC00000"/>
      <name val="Calibri"/>
      <family val="2"/>
      <scheme val="minor"/>
    </font>
    <font>
      <sz val="11"/>
      <color rgb="FFC00000"/>
      <name val="Calibri"/>
      <family val="2"/>
      <scheme val="minor"/>
    </font>
    <font>
      <u/>
      <sz val="11"/>
      <color theme="1"/>
      <name val="Calibri"/>
      <family val="2"/>
      <scheme val="minor"/>
    </font>
    <font>
      <sz val="10"/>
      <name val="Calibri"/>
      <family val="2"/>
      <scheme val="minor"/>
    </font>
    <font>
      <sz val="12"/>
      <color indexed="24"/>
      <name val="Arial"/>
      <family val="2"/>
    </font>
    <font>
      <b/>
      <sz val="8"/>
      <color indexed="24"/>
      <name val="Times New Roman"/>
      <family val="1"/>
    </font>
    <font>
      <sz val="8"/>
      <color indexed="24"/>
      <name val="Times New Roman"/>
      <family val="1"/>
    </font>
    <font>
      <sz val="11"/>
      <color theme="6"/>
      <name val="Calibri"/>
      <family val="2"/>
      <scheme val="minor"/>
    </font>
    <font>
      <sz val="9"/>
      <color theme="6"/>
      <name val="Arial"/>
      <family val="2"/>
    </font>
    <font>
      <b/>
      <sz val="11"/>
      <color theme="6"/>
      <name val="Calibri"/>
      <family val="2"/>
      <scheme val="minor"/>
    </font>
    <font>
      <u/>
      <sz val="11"/>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right/>
      <top style="double">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2">
    <xf numFmtId="0" fontId="0" fillId="0" borderId="0"/>
    <xf numFmtId="43" fontId="1" fillId="0" borderId="0" applyFont="0" applyFill="0" applyBorder="0" applyAlignment="0" applyProtection="0"/>
    <xf numFmtId="0" fontId="3"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xf numFmtId="0" fontId="21" fillId="0" borderId="0" applyFon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3" fontId="21" fillId="0" borderId="0" applyFont="0" applyFill="0" applyBorder="0" applyAlignment="0" applyProtection="0"/>
    <xf numFmtId="170" fontId="21" fillId="0" borderId="0" applyFont="0" applyFill="0" applyBorder="0" applyAlignment="0" applyProtection="0"/>
    <xf numFmtId="0" fontId="21" fillId="0" borderId="1" applyNumberFormat="0" applyFont="0" applyFill="0" applyAlignment="0" applyProtection="0"/>
    <xf numFmtId="2" fontId="21" fillId="0" borderId="0" applyFont="0" applyFill="0" applyBorder="0" applyAlignment="0" applyProtection="0"/>
  </cellStyleXfs>
  <cellXfs count="313">
    <xf numFmtId="0" fontId="0" fillId="0" borderId="0" xfId="0"/>
    <xf numFmtId="0" fontId="2" fillId="0" borderId="0" xfId="0" applyFont="1"/>
    <xf numFmtId="0" fontId="3" fillId="0" borderId="0" xfId="2" applyAlignment="1" applyProtection="1"/>
    <xf numFmtId="0" fontId="0" fillId="2" borderId="0" xfId="0" applyFill="1" applyBorder="1"/>
    <xf numFmtId="0" fontId="7" fillId="3" borderId="0" xfId="3" applyFont="1" applyFill="1" applyBorder="1" applyAlignment="1">
      <alignment horizontal="center" vertical="center" wrapText="1"/>
    </xf>
    <xf numFmtId="0" fontId="7" fillId="3" borderId="0" xfId="3" applyFont="1" applyFill="1" applyAlignment="1">
      <alignment horizontal="center" vertical="center" wrapText="1"/>
    </xf>
    <xf numFmtId="165" fontId="8" fillId="0" borderId="0" xfId="3" applyNumberFormat="1" applyFont="1" applyFill="1" applyAlignment="1">
      <alignment horizontal="center"/>
    </xf>
    <xf numFmtId="0" fontId="8" fillId="0" borderId="0" xfId="3" applyFont="1" applyFill="1" applyBorder="1" applyAlignment="1">
      <alignment horizontal="left" wrapText="1"/>
    </xf>
    <xf numFmtId="14" fontId="8" fillId="0" borderId="0" xfId="3" applyNumberFormat="1" applyFont="1" applyFill="1" applyBorder="1" applyAlignment="1">
      <alignment horizontal="center" wrapText="1"/>
    </xf>
    <xf numFmtId="0" fontId="6" fillId="0" borderId="0" xfId="3" applyFont="1" applyAlignment="1">
      <alignment vertical="center"/>
    </xf>
    <xf numFmtId="0" fontId="8" fillId="0" borderId="0" xfId="0" applyFont="1" applyBorder="1" applyAlignment="1">
      <alignment wrapText="1"/>
    </xf>
    <xf numFmtId="14" fontId="8" fillId="0" borderId="0" xfId="0" applyNumberFormat="1" applyFont="1" applyBorder="1" applyAlignment="1">
      <alignment horizontal="center" wrapText="1"/>
    </xf>
    <xf numFmtId="166" fontId="8" fillId="0" borderId="0" xfId="1" applyNumberFormat="1" applyFont="1" applyBorder="1" applyAlignment="1">
      <alignment horizontal="center" wrapText="1"/>
    </xf>
    <xf numFmtId="0" fontId="8" fillId="0" borderId="0" xfId="0" applyFont="1" applyBorder="1" applyAlignment="1">
      <alignment horizontal="left" wrapText="1"/>
    </xf>
    <xf numFmtId="167" fontId="0" fillId="0" borderId="0" xfId="0" applyNumberFormat="1" applyAlignment="1">
      <alignment horizontal="center" vertical="center"/>
    </xf>
    <xf numFmtId="164" fontId="0" fillId="0" borderId="0" xfId="0" applyNumberFormat="1" applyAlignment="1">
      <alignment horizontal="center" vertical="center"/>
    </xf>
    <xf numFmtId="1" fontId="0" fillId="0" borderId="0" xfId="0" applyNumberFormat="1" applyAlignment="1">
      <alignment horizontal="center" vertical="center"/>
    </xf>
    <xf numFmtId="165" fontId="0" fillId="0" borderId="0" xfId="0" applyNumberFormat="1" applyAlignment="1">
      <alignment horizontal="center"/>
    </xf>
    <xf numFmtId="165" fontId="8" fillId="0" borderId="0" xfId="3" applyNumberFormat="1" applyFont="1" applyFill="1" applyAlignment="1">
      <alignment horizontal="center" vertical="center"/>
    </xf>
    <xf numFmtId="165" fontId="0" fillId="0" borderId="0" xfId="0" applyNumberFormat="1" applyAlignment="1">
      <alignment horizontal="center" vertical="center"/>
    </xf>
    <xf numFmtId="166" fontId="8" fillId="0" borderId="0" xfId="1" applyNumberFormat="1" applyFont="1" applyBorder="1" applyAlignment="1">
      <alignment horizontal="center" vertical="center" wrapText="1"/>
    </xf>
    <xf numFmtId="168" fontId="8" fillId="0" borderId="0" xfId="3" applyNumberFormat="1" applyFont="1" applyFill="1" applyAlignment="1">
      <alignment horizontal="center" vertical="center"/>
    </xf>
    <xf numFmtId="168" fontId="8" fillId="0" borderId="0" xfId="1" applyNumberFormat="1" applyFont="1" applyBorder="1" applyAlignment="1">
      <alignment horizontal="center" vertical="center" wrapText="1"/>
    </xf>
    <xf numFmtId="168" fontId="0" fillId="0" borderId="0" xfId="0" applyNumberFormat="1"/>
    <xf numFmtId="10" fontId="0" fillId="0" borderId="0" xfId="0" applyNumberFormat="1" applyAlignment="1">
      <alignment horizontal="center" vertical="center" wrapText="1"/>
    </xf>
    <xf numFmtId="10" fontId="0" fillId="0" borderId="0" xfId="0" applyNumberFormat="1" applyAlignment="1">
      <alignment horizontal="center"/>
    </xf>
    <xf numFmtId="0" fontId="9" fillId="0" borderId="0" xfId="0" applyFont="1" applyBorder="1" applyAlignment="1">
      <alignment horizontal="center" vertical="center" wrapText="1"/>
    </xf>
    <xf numFmtId="2" fontId="7" fillId="3" borderId="0" xfId="0" applyNumberFormat="1" applyFont="1" applyFill="1" applyAlignment="1">
      <alignment horizontal="center" vertical="center"/>
    </xf>
    <xf numFmtId="2" fontId="10" fillId="3" borderId="0" xfId="0" applyNumberFormat="1" applyFont="1" applyFill="1" applyAlignment="1">
      <alignment horizontal="center" vertical="center"/>
    </xf>
    <xf numFmtId="0" fontId="8" fillId="0" borderId="0" xfId="3" applyFont="1" applyFill="1" applyAlignment="1">
      <alignment vertical="center" wrapText="1"/>
    </xf>
    <xf numFmtId="0" fontId="6" fillId="0" borderId="0" xfId="3" applyFont="1" applyAlignment="1">
      <alignment vertical="center" wrapText="1"/>
    </xf>
    <xf numFmtId="0" fontId="0" fillId="0" borderId="0" xfId="0" applyAlignment="1">
      <alignment wrapText="1"/>
    </xf>
    <xf numFmtId="0" fontId="6" fillId="0" borderId="0" xfId="3"/>
    <xf numFmtId="0" fontId="7" fillId="3" borderId="0" xfId="0" applyFont="1" applyFill="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Font="1" applyAlignment="1">
      <alignment horizontal="center" vertical="center"/>
    </xf>
    <xf numFmtId="0" fontId="0" fillId="0" borderId="0" xfId="0" applyFont="1"/>
    <xf numFmtId="164" fontId="0" fillId="0" borderId="0" xfId="0" applyNumberFormat="1" applyFont="1" applyAlignment="1">
      <alignment horizontal="center" vertical="center"/>
    </xf>
    <xf numFmtId="164" fontId="11" fillId="0" borderId="0" xfId="0" applyNumberFormat="1" applyFont="1" applyAlignment="1">
      <alignment horizontal="center" vertical="center"/>
    </xf>
    <xf numFmtId="9" fontId="11" fillId="0" borderId="0" xfId="0" applyNumberFormat="1" applyFont="1" applyAlignment="1">
      <alignment horizontal="center" vertical="center"/>
    </xf>
    <xf numFmtId="164" fontId="11" fillId="0" borderId="0" xfId="3" applyNumberFormat="1" applyFont="1" applyAlignment="1">
      <alignment horizontal="center" vertical="center" wrapText="1"/>
    </xf>
    <xf numFmtId="9" fontId="0" fillId="0" borderId="0" xfId="0" applyNumberFormat="1" applyFont="1" applyAlignment="1">
      <alignment horizontal="center" vertical="center"/>
    </xf>
    <xf numFmtId="165" fontId="0" fillId="0" borderId="0" xfId="0" applyNumberFormat="1" applyFont="1" applyAlignment="1">
      <alignment horizontal="center" vertical="center"/>
    </xf>
    <xf numFmtId="165" fontId="11" fillId="0" borderId="0" xfId="0" applyNumberFormat="1" applyFont="1" applyAlignment="1">
      <alignment horizontal="center" vertical="center"/>
    </xf>
    <xf numFmtId="167" fontId="0" fillId="0" borderId="0" xfId="0" applyNumberFormat="1" applyFont="1" applyAlignment="1">
      <alignment horizontal="center" vertical="center"/>
    </xf>
    <xf numFmtId="168" fontId="0" fillId="0" borderId="0" xfId="0" applyNumberFormat="1" applyFont="1" applyAlignment="1">
      <alignment horizontal="center" vertical="center"/>
    </xf>
    <xf numFmtId="10" fontId="0" fillId="0" borderId="0" xfId="0" applyNumberFormat="1" applyFont="1" applyAlignment="1">
      <alignment horizontal="center" vertical="center" wrapText="1"/>
    </xf>
    <xf numFmtId="10" fontId="0" fillId="0" borderId="0" xfId="0" applyNumberFormat="1" applyFont="1" applyAlignment="1">
      <alignment horizontal="center"/>
    </xf>
    <xf numFmtId="165" fontId="0" fillId="0" borderId="0" xfId="0" applyNumberFormat="1" applyFont="1" applyAlignment="1">
      <alignment horizontal="center"/>
    </xf>
    <xf numFmtId="168" fontId="11" fillId="0" borderId="0" xfId="0" applyNumberFormat="1" applyFont="1" applyAlignment="1">
      <alignment horizontal="center" vertical="center"/>
    </xf>
    <xf numFmtId="0" fontId="0" fillId="0" borderId="0" xfId="0" applyFont="1" applyBorder="1" applyAlignment="1">
      <alignment horizontal="center" vertical="center" wrapText="1"/>
    </xf>
    <xf numFmtId="14" fontId="0" fillId="0" borderId="0" xfId="0" applyNumberFormat="1" applyFont="1" applyBorder="1" applyAlignment="1">
      <alignment horizontal="center" vertical="center" wrapText="1"/>
    </xf>
    <xf numFmtId="0" fontId="0" fillId="0" borderId="0" xfId="0" applyFont="1" applyAlignment="1">
      <alignment horizontal="center" vertical="center" wrapText="1"/>
    </xf>
    <xf numFmtId="0" fontId="11" fillId="0" borderId="0" xfId="3" applyFont="1" applyAlignment="1">
      <alignment horizontal="center" vertical="center" wrapText="1"/>
    </xf>
    <xf numFmtId="0" fontId="11" fillId="0" borderId="0" xfId="3" applyFont="1"/>
    <xf numFmtId="10" fontId="11" fillId="0" borderId="0" xfId="0" applyNumberFormat="1" applyFont="1" applyAlignment="1">
      <alignment horizontal="center"/>
    </xf>
    <xf numFmtId="0" fontId="11" fillId="0" borderId="0" xfId="3" applyFont="1" applyFill="1" applyAlignment="1">
      <alignment vertical="center" wrapText="1"/>
    </xf>
    <xf numFmtId="165" fontId="11" fillId="0" borderId="0" xfId="3" applyNumberFormat="1" applyFont="1" applyFill="1" applyAlignment="1">
      <alignment horizontal="center" vertical="center"/>
    </xf>
    <xf numFmtId="10" fontId="11" fillId="0" borderId="0" xfId="3" applyNumberFormat="1" applyFont="1" applyFill="1" applyAlignment="1">
      <alignment horizontal="center" vertical="center"/>
    </xf>
    <xf numFmtId="0" fontId="10" fillId="3" borderId="0" xfId="0" applyFont="1" applyFill="1" applyAlignment="1">
      <alignment horizontal="center" vertical="center"/>
    </xf>
    <xf numFmtId="0" fontId="11" fillId="0" borderId="0" xfId="3" applyFont="1" applyAlignment="1">
      <alignment horizontal="center" vertical="center"/>
    </xf>
    <xf numFmtId="14" fontId="11" fillId="0" borderId="0" xfId="3" applyNumberFormat="1" applyFont="1" applyFill="1" applyBorder="1" applyAlignment="1">
      <alignment horizontal="center" vertical="center" wrapText="1"/>
    </xf>
    <xf numFmtId="0" fontId="0" fillId="0" borderId="0" xfId="0" applyBorder="1" applyAlignment="1">
      <alignment horizontal="center" vertical="center" wrapText="1"/>
    </xf>
    <xf numFmtId="0" fontId="8" fillId="0" borderId="0" xfId="0" applyFont="1" applyBorder="1" applyAlignment="1">
      <alignment vertical="center" wrapText="1"/>
    </xf>
    <xf numFmtId="0" fontId="12" fillId="3" borderId="0" xfId="0" applyFont="1" applyFill="1" applyAlignment="1">
      <alignment horizontal="center" vertical="center"/>
    </xf>
    <xf numFmtId="9"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164" fontId="6" fillId="0" borderId="0" xfId="0" applyNumberFormat="1" applyFont="1" applyAlignment="1">
      <alignment horizontal="center" vertical="center"/>
    </xf>
    <xf numFmtId="0" fontId="11" fillId="0" borderId="0" xfId="3" applyFont="1" applyFill="1" applyAlignment="1">
      <alignment horizontal="center" vertical="center"/>
    </xf>
    <xf numFmtId="0" fontId="11" fillId="0" borderId="0" xfId="3" applyFont="1" applyFill="1" applyBorder="1" applyAlignment="1">
      <alignment horizontal="center" vertical="center" wrapText="1"/>
    </xf>
    <xf numFmtId="0" fontId="9" fillId="0" borderId="0" xfId="0" applyFont="1" applyAlignment="1">
      <alignment horizontal="center" vertical="center"/>
    </xf>
    <xf numFmtId="165" fontId="9" fillId="0" borderId="0" xfId="0" applyNumberFormat="1" applyFont="1" applyAlignment="1">
      <alignment horizontal="center" vertical="center"/>
    </xf>
    <xf numFmtId="0" fontId="0" fillId="0" borderId="0" xfId="0" quotePrefix="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14" fontId="0" fillId="0" borderId="0" xfId="0" applyNumberFormat="1" applyAlignment="1">
      <alignment horizontal="center" vertical="center"/>
    </xf>
    <xf numFmtId="0" fontId="0" fillId="0" borderId="0" xfId="0" applyAlignment="1">
      <alignment horizontal="left"/>
    </xf>
    <xf numFmtId="0" fontId="11" fillId="0" borderId="0" xfId="3" applyFont="1" applyFill="1" applyAlignment="1">
      <alignment horizontal="center" vertical="center" wrapText="1"/>
    </xf>
    <xf numFmtId="0" fontId="0" fillId="0" borderId="0" xfId="0" applyFont="1" applyAlignment="1">
      <alignment wrapText="1"/>
    </xf>
    <xf numFmtId="14" fontId="0" fillId="0" borderId="0" xfId="0" applyNumberFormat="1" applyFont="1" applyAlignment="1">
      <alignment horizontal="center" vertical="center"/>
    </xf>
    <xf numFmtId="1" fontId="8" fillId="2" borderId="0" xfId="3"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1" fillId="0" borderId="0" xfId="2" applyFont="1" applyAlignment="1" applyProtection="1">
      <alignment horizontal="center" vertical="center" wrapText="1"/>
    </xf>
    <xf numFmtId="0" fontId="11" fillId="0" borderId="0" xfId="2" applyFont="1" applyAlignment="1" applyProtection="1">
      <alignment horizontal="center" wrapText="1"/>
    </xf>
    <xf numFmtId="164" fontId="11" fillId="0" borderId="0" xfId="0" applyNumberFormat="1" applyFont="1" applyFill="1" applyAlignment="1">
      <alignment horizontal="center" vertical="center"/>
    </xf>
    <xf numFmtId="164" fontId="0" fillId="0" borderId="0" xfId="0" applyNumberFormat="1" applyFont="1" applyFill="1" applyAlignment="1">
      <alignment horizontal="center" vertical="center"/>
    </xf>
    <xf numFmtId="0" fontId="14" fillId="0" borderId="0" xfId="2" applyFont="1" applyAlignment="1" applyProtection="1">
      <alignment horizontal="center" vertical="center" wrapText="1"/>
    </xf>
    <xf numFmtId="0" fontId="11" fillId="0" borderId="0" xfId="0" applyFont="1" applyAlignment="1">
      <alignment horizontal="center" vertical="center" wrapText="1"/>
    </xf>
    <xf numFmtId="0" fontId="11" fillId="0" borderId="0" xfId="3" applyFont="1" applyAlignment="1">
      <alignment vertical="center" wrapText="1"/>
    </xf>
    <xf numFmtId="0" fontId="11" fillId="0" borderId="0" xfId="3" applyFont="1" applyAlignment="1">
      <alignment horizontal="left" vertical="center" wrapText="1"/>
    </xf>
    <xf numFmtId="0" fontId="0" fillId="0" borderId="0" xfId="0" applyAlignment="1"/>
    <xf numFmtId="0" fontId="16" fillId="0" borderId="0" xfId="0" applyFont="1" applyAlignment="1"/>
    <xf numFmtId="0" fontId="14" fillId="0" borderId="0" xfId="2" applyFont="1" applyAlignment="1" applyProtection="1">
      <alignment horizontal="center" wrapText="1"/>
    </xf>
    <xf numFmtId="0" fontId="14" fillId="0" borderId="0" xfId="2" applyFont="1" applyAlignment="1" applyProtection="1"/>
    <xf numFmtId="0" fontId="11" fillId="0" borderId="0" xfId="3" applyFont="1" applyAlignment="1">
      <alignment horizontal="left" vertical="center"/>
    </xf>
    <xf numFmtId="168" fontId="0" fillId="0" borderId="0" xfId="0" applyNumberFormat="1" applyAlignment="1">
      <alignment horizontal="center" vertical="center"/>
    </xf>
    <xf numFmtId="9" fontId="0" fillId="0" borderId="0" xfId="0" applyNumberFormat="1" applyFill="1" applyAlignment="1">
      <alignment horizontal="center" vertical="center"/>
    </xf>
    <xf numFmtId="0" fontId="11" fillId="0" borderId="0" xfId="3" applyFont="1" applyAlignment="1">
      <alignment horizontal="left" vertical="center" wrapText="1"/>
    </xf>
    <xf numFmtId="0" fontId="11" fillId="0" borderId="0" xfId="3" applyFont="1" applyAlignment="1">
      <alignment horizontal="left" vertical="center" wrapText="1"/>
    </xf>
    <xf numFmtId="0" fontId="0" fillId="0" borderId="0" xfId="0" applyAlignment="1">
      <alignment horizontal="left" vertical="center" wrapText="1"/>
    </xf>
    <xf numFmtId="0" fontId="3" fillId="0" borderId="0" xfId="2" applyAlignment="1" applyProtection="1">
      <alignment wrapText="1"/>
    </xf>
    <xf numFmtId="9" fontId="6" fillId="0" borderId="0" xfId="0" applyNumberFormat="1" applyFont="1" applyAlignment="1">
      <alignment horizontal="center" vertical="center"/>
    </xf>
    <xf numFmtId="0" fontId="13" fillId="3" borderId="0" xfId="0" applyFont="1" applyFill="1" applyAlignment="1">
      <alignment horizontal="center" vertical="center"/>
    </xf>
    <xf numFmtId="0" fontId="14" fillId="0" borderId="0" xfId="2" applyFont="1" applyAlignment="1" applyProtection="1">
      <alignment vertical="center"/>
    </xf>
    <xf numFmtId="0" fontId="0" fillId="0" borderId="0" xfId="0" applyFont="1" applyAlignment="1">
      <alignment vertical="center" wrapText="1"/>
    </xf>
    <xf numFmtId="0" fontId="11" fillId="0" borderId="0" xfId="3" applyFont="1" applyFill="1" applyAlignment="1">
      <alignment horizontal="left" vertical="center"/>
    </xf>
    <xf numFmtId="164" fontId="0" fillId="0" borderId="0" xfId="0" applyNumberFormat="1" applyFill="1" applyAlignment="1">
      <alignment horizontal="center" vertical="center"/>
    </xf>
    <xf numFmtId="0" fontId="0" fillId="0" borderId="0" xfId="0" applyFill="1"/>
    <xf numFmtId="9" fontId="0" fillId="0" borderId="0" xfId="0" applyNumberFormat="1" applyFont="1" applyFill="1" applyAlignment="1">
      <alignment horizontal="center" vertical="center"/>
    </xf>
    <xf numFmtId="0" fontId="0" fillId="0" borderId="0" xfId="0" applyFont="1" applyFill="1" applyAlignment="1">
      <alignment horizontal="center" vertical="center"/>
    </xf>
    <xf numFmtId="165" fontId="0" fillId="0" borderId="0" xfId="0" applyNumberFormat="1" applyFont="1" applyFill="1" applyAlignment="1">
      <alignment horizontal="center" vertical="center"/>
    </xf>
    <xf numFmtId="0" fontId="18" fillId="0" borderId="0" xfId="3" applyFont="1" applyAlignment="1">
      <alignment horizontal="left" vertical="center" wrapText="1"/>
    </xf>
    <xf numFmtId="9" fontId="9" fillId="0" borderId="0" xfId="0" applyNumberFormat="1" applyFont="1" applyAlignment="1">
      <alignment horizontal="center" vertical="center"/>
    </xf>
    <xf numFmtId="165" fontId="0" fillId="0" borderId="0" xfId="0" applyNumberFormat="1" applyFill="1" applyAlignment="1">
      <alignment horizontal="center" vertical="center"/>
    </xf>
    <xf numFmtId="0" fontId="19" fillId="0" borderId="0" xfId="0" applyFont="1"/>
    <xf numFmtId="0" fontId="11" fillId="0" borderId="0" xfId="3" applyFont="1" applyAlignment="1">
      <alignment vertical="top" wrapText="1"/>
    </xf>
    <xf numFmtId="164" fontId="9" fillId="0" borderId="0" xfId="0" applyNumberFormat="1" applyFont="1" applyAlignment="1">
      <alignment horizontal="center" vertical="center"/>
    </xf>
    <xf numFmtId="0" fontId="20" fillId="0" borderId="0" xfId="3" applyFont="1" applyAlignment="1">
      <alignment vertical="center"/>
    </xf>
    <xf numFmtId="165" fontId="20" fillId="0" borderId="0" xfId="3" applyNumberFormat="1" applyFont="1" applyFill="1" applyAlignment="1">
      <alignment horizontal="center" vertical="center"/>
    </xf>
    <xf numFmtId="14" fontId="20" fillId="0" borderId="0" xfId="3" applyNumberFormat="1" applyFont="1" applyFill="1" applyBorder="1" applyAlignment="1">
      <alignment horizontal="center" vertical="center" wrapText="1"/>
    </xf>
    <xf numFmtId="168" fontId="20" fillId="0" borderId="0" xfId="3" applyNumberFormat="1" applyFont="1" applyFill="1" applyAlignment="1">
      <alignment horizontal="center" vertical="center"/>
    </xf>
    <xf numFmtId="0" fontId="20" fillId="0" borderId="0" xfId="3" applyFont="1" applyFill="1" applyBorder="1" applyAlignment="1">
      <alignment horizontal="left" wrapText="1"/>
    </xf>
    <xf numFmtId="0" fontId="20" fillId="0" borderId="0" xfId="3" applyFont="1" applyFill="1" applyAlignment="1">
      <alignment vertical="center"/>
    </xf>
    <xf numFmtId="0" fontId="20" fillId="0" borderId="0" xfId="0" applyFont="1" applyBorder="1" applyAlignment="1">
      <alignment wrapText="1"/>
    </xf>
    <xf numFmtId="14" fontId="20" fillId="0" borderId="0" xfId="0" applyNumberFormat="1" applyFont="1" applyBorder="1" applyAlignment="1">
      <alignment horizontal="center" vertical="center" wrapText="1"/>
    </xf>
    <xf numFmtId="0" fontId="20" fillId="0" borderId="0" xfId="0" applyFont="1" applyBorder="1" applyAlignment="1">
      <alignment vertical="center" wrapText="1"/>
    </xf>
    <xf numFmtId="164" fontId="11" fillId="2" borderId="0" xfId="0" applyNumberFormat="1" applyFont="1" applyFill="1" applyAlignment="1">
      <alignment horizontal="center" vertical="center"/>
    </xf>
    <xf numFmtId="164" fontId="0" fillId="2" borderId="0" xfId="0" applyNumberFormat="1" applyFont="1" applyFill="1" applyAlignment="1">
      <alignment horizontal="center" vertical="center"/>
    </xf>
    <xf numFmtId="165" fontId="0" fillId="2" borderId="0" xfId="0" applyNumberFormat="1" applyFont="1" applyFill="1" applyAlignment="1">
      <alignment horizontal="center" vertical="center"/>
    </xf>
    <xf numFmtId="0" fontId="0" fillId="2" borderId="0" xfId="0" applyFill="1" applyAlignment="1">
      <alignment horizontal="center" vertical="center"/>
    </xf>
    <xf numFmtId="9" fontId="0" fillId="2" borderId="0" xfId="0" applyNumberFormat="1" applyFill="1" applyAlignment="1">
      <alignment horizontal="center" vertical="center"/>
    </xf>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11" fillId="0" borderId="0" xfId="3" applyFont="1" applyAlignment="1">
      <alignment horizontal="left" vertical="center" wrapText="1"/>
    </xf>
    <xf numFmtId="164" fontId="11" fillId="2" borderId="0" xfId="0" applyNumberFormat="1" applyFont="1" applyFill="1" applyBorder="1" applyAlignment="1">
      <alignment horizontal="center" vertical="center" wrapText="1"/>
    </xf>
    <xf numFmtId="10" fontId="0" fillId="2" borderId="0" xfId="0" applyNumberFormat="1" applyFont="1" applyFill="1" applyAlignment="1">
      <alignment horizontal="center" vertical="center"/>
    </xf>
    <xf numFmtId="10" fontId="11" fillId="0" borderId="0" xfId="0" applyNumberFormat="1" applyFont="1" applyAlignment="1">
      <alignment horizontal="center" vertical="center"/>
    </xf>
    <xf numFmtId="10" fontId="11" fillId="2" borderId="0" xfId="3" applyNumberFormat="1" applyFont="1" applyFill="1" applyAlignment="1">
      <alignment horizontal="center" vertical="center"/>
    </xf>
    <xf numFmtId="165" fontId="11" fillId="2" borderId="0" xfId="3" applyNumberFormat="1" applyFont="1" applyFill="1" applyAlignment="1">
      <alignment horizontal="center" vertical="center"/>
    </xf>
    <xf numFmtId="168" fontId="11" fillId="0" borderId="0" xfId="3" applyNumberFormat="1" applyFont="1" applyFill="1" applyAlignment="1">
      <alignment horizontal="center" vertical="center"/>
    </xf>
    <xf numFmtId="168" fontId="11" fillId="0" borderId="0" xfId="4" applyNumberFormat="1" applyFont="1" applyFill="1" applyAlignment="1">
      <alignment horizontal="center" vertical="center"/>
    </xf>
    <xf numFmtId="168" fontId="11" fillId="2" borderId="0" xfId="4" applyNumberFormat="1" applyFont="1" applyFill="1" applyAlignment="1">
      <alignment horizontal="center" vertical="center"/>
    </xf>
    <xf numFmtId="0" fontId="11" fillId="0" borderId="0" xfId="3" applyFont="1" applyFill="1" applyBorder="1" applyAlignment="1">
      <alignment horizontal="left" wrapText="1"/>
    </xf>
    <xf numFmtId="0" fontId="11" fillId="0" borderId="0" xfId="3" applyFont="1" applyFill="1" applyAlignment="1">
      <alignment vertical="center"/>
    </xf>
    <xf numFmtId="168" fontId="7" fillId="3" borderId="0" xfId="3" applyNumberFormat="1" applyFont="1" applyFill="1" applyBorder="1" applyAlignment="1">
      <alignment horizontal="center" vertical="center"/>
    </xf>
    <xf numFmtId="0" fontId="9" fillId="0" borderId="0" xfId="0" quotePrefix="1" applyFont="1" applyAlignment="1">
      <alignment horizontal="center" vertical="center"/>
    </xf>
    <xf numFmtId="2" fontId="12" fillId="3" borderId="0" xfId="0" applyNumberFormat="1" applyFont="1" applyFill="1" applyAlignment="1">
      <alignment horizontal="center" vertical="center"/>
    </xf>
    <xf numFmtId="9" fontId="0" fillId="2" borderId="0" xfId="0" applyNumberFormat="1" applyFont="1" applyFill="1" applyAlignment="1">
      <alignment horizontal="center" vertical="center"/>
    </xf>
    <xf numFmtId="9" fontId="24" fillId="0" borderId="0" xfId="0" applyNumberFormat="1" applyFont="1" applyAlignment="1">
      <alignment horizontal="center" vertical="center"/>
    </xf>
    <xf numFmtId="164" fontId="24" fillId="0" borderId="0" xfId="0" applyNumberFormat="1" applyFont="1" applyAlignment="1">
      <alignment horizontal="center" vertical="center"/>
    </xf>
    <xf numFmtId="0" fontId="11" fillId="0" borderId="0" xfId="3" applyFont="1" applyAlignment="1">
      <alignment horizontal="left" vertical="center" wrapText="1"/>
    </xf>
    <xf numFmtId="0" fontId="0" fillId="0" borderId="0" xfId="0" applyAlignment="1">
      <alignment horizontal="left" wrapText="1"/>
    </xf>
    <xf numFmtId="165" fontId="11" fillId="0" borderId="0" xfId="0" applyNumberFormat="1" applyFont="1" applyFill="1" applyAlignment="1">
      <alignment horizontal="center" vertical="center"/>
    </xf>
    <xf numFmtId="9" fontId="11" fillId="0" borderId="0" xfId="0" applyNumberFormat="1" applyFont="1" applyFill="1" applyAlignment="1">
      <alignment horizontal="center" vertical="center"/>
    </xf>
    <xf numFmtId="164" fontId="15" fillId="2" borderId="0" xfId="0" applyNumberFormat="1" applyFont="1" applyFill="1" applyAlignment="1">
      <alignment horizontal="center" vertical="center"/>
    </xf>
    <xf numFmtId="165" fontId="15" fillId="2" borderId="0" xfId="0" applyNumberFormat="1" applyFont="1" applyFill="1" applyAlignment="1">
      <alignment horizontal="center" vertical="center"/>
    </xf>
    <xf numFmtId="9" fontId="11" fillId="2" borderId="0" xfId="0" applyNumberFormat="1" applyFont="1" applyFill="1" applyAlignment="1">
      <alignment horizontal="center" vertical="center"/>
    </xf>
    <xf numFmtId="165" fontId="11"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9" fontId="24" fillId="2" borderId="0" xfId="0" applyNumberFormat="1" applyFont="1" applyFill="1" applyAlignment="1">
      <alignment horizontal="center" vertical="center"/>
    </xf>
    <xf numFmtId="0" fontId="24" fillId="0" borderId="0" xfId="0" applyFont="1" applyBorder="1" applyAlignment="1">
      <alignment horizontal="center" vertical="center" wrapText="1"/>
    </xf>
    <xf numFmtId="14" fontId="24" fillId="0" borderId="0" xfId="0" applyNumberFormat="1" applyFont="1" applyBorder="1" applyAlignment="1">
      <alignment horizontal="center" vertical="center" wrapText="1"/>
    </xf>
    <xf numFmtId="0" fontId="24" fillId="0" borderId="0" xfId="3" applyFont="1" applyAlignment="1">
      <alignment horizontal="center" vertical="center"/>
    </xf>
    <xf numFmtId="0" fontId="25" fillId="0" borderId="0" xfId="0" applyFont="1" applyAlignment="1">
      <alignment horizontal="center" vertical="center"/>
    </xf>
    <xf numFmtId="167" fontId="0" fillId="2" borderId="0" xfId="0" applyNumberFormat="1" applyFill="1" applyAlignment="1">
      <alignment horizontal="center" vertical="center"/>
    </xf>
    <xf numFmtId="0" fontId="11" fillId="0" borderId="0" xfId="3" applyFont="1" applyFill="1" applyAlignment="1">
      <alignment horizontal="left" vertical="center" wrapText="1"/>
    </xf>
    <xf numFmtId="10" fontId="6" fillId="0" borderId="0" xfId="0" applyNumberFormat="1" applyFont="1" applyAlignment="1">
      <alignment horizontal="center" vertical="center"/>
    </xf>
    <xf numFmtId="0" fontId="0" fillId="0" borderId="0" xfId="0" applyFill="1" applyAlignment="1">
      <alignment horizontal="center" vertical="center"/>
    </xf>
    <xf numFmtId="167" fontId="0" fillId="2" borderId="0" xfId="0" applyNumberFormat="1" applyFill="1" applyAlignment="1">
      <alignment horizontal="center"/>
    </xf>
    <xf numFmtId="0" fontId="0" fillId="2" borderId="0" xfId="0" applyFill="1" applyAlignment="1">
      <alignment horizontal="center"/>
    </xf>
    <xf numFmtId="9" fontId="9" fillId="2" borderId="0" xfId="0" applyNumberFormat="1" applyFont="1" applyFill="1" applyAlignment="1">
      <alignment horizontal="center" vertical="center"/>
    </xf>
    <xf numFmtId="164" fontId="6" fillId="2" borderId="0" xfId="0" applyNumberFormat="1" applyFont="1" applyFill="1" applyAlignment="1">
      <alignment horizontal="center" vertical="center"/>
    </xf>
    <xf numFmtId="9" fontId="20" fillId="2" borderId="0" xfId="0" applyNumberFormat="1" applyFont="1" applyFill="1" applyAlignment="1">
      <alignment horizontal="center" vertical="center"/>
    </xf>
    <xf numFmtId="164" fontId="20" fillId="2" borderId="0" xfId="0" applyNumberFormat="1" applyFont="1" applyFill="1" applyAlignment="1">
      <alignment horizontal="center" vertical="center"/>
    </xf>
    <xf numFmtId="0" fontId="8" fillId="2" borderId="0"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7" fillId="0" borderId="0" xfId="3" applyFont="1" applyFill="1" applyAlignment="1">
      <alignment horizontal="center" vertical="center" wrapText="1"/>
    </xf>
    <xf numFmtId="0" fontId="13" fillId="2" borderId="0" xfId="0" applyFont="1" applyFill="1" applyAlignment="1">
      <alignment horizontal="center" vertical="center"/>
    </xf>
    <xf numFmtId="0" fontId="9" fillId="2" borderId="0" xfId="0" applyFont="1" applyFill="1" applyAlignment="1">
      <alignment horizontal="center" vertical="center"/>
    </xf>
    <xf numFmtId="0" fontId="6" fillId="2" borderId="0" xfId="3" applyFont="1" applyFill="1" applyBorder="1" applyAlignment="1">
      <alignment horizontal="center" vertical="center" wrapText="1"/>
    </xf>
    <xf numFmtId="2" fontId="10" fillId="2" borderId="0" xfId="0" applyNumberFormat="1" applyFont="1" applyFill="1" applyAlignment="1">
      <alignment horizontal="center" vertical="center"/>
    </xf>
    <xf numFmtId="164" fontId="0" fillId="2" borderId="0" xfId="0" applyNumberFormat="1" applyFont="1" applyFill="1" applyAlignment="1">
      <alignment horizontal="center" vertical="center" wrapText="1"/>
    </xf>
    <xf numFmtId="10" fontId="0" fillId="2" borderId="0" xfId="0" applyNumberFormat="1" applyFont="1" applyFill="1" applyAlignment="1">
      <alignment horizontal="center" vertical="center" wrapText="1"/>
    </xf>
    <xf numFmtId="10" fontId="11" fillId="2" borderId="0" xfId="0" applyNumberFormat="1" applyFont="1" applyFill="1" applyAlignment="1">
      <alignment horizontal="center" vertical="center"/>
    </xf>
    <xf numFmtId="168" fontId="11" fillId="2" borderId="0" xfId="3" applyNumberFormat="1" applyFont="1" applyFill="1" applyAlignment="1">
      <alignment horizontal="center" vertical="center"/>
    </xf>
    <xf numFmtId="165" fontId="20" fillId="2" borderId="0" xfId="3" applyNumberFormat="1" applyFont="1" applyFill="1" applyAlignment="1">
      <alignment horizontal="center" vertical="center"/>
    </xf>
    <xf numFmtId="168" fontId="20" fillId="2" borderId="0" xfId="3" applyNumberFormat="1" applyFont="1" applyFill="1" applyAlignment="1">
      <alignment horizontal="center" vertical="center"/>
    </xf>
    <xf numFmtId="164" fontId="11" fillId="0" borderId="0" xfId="3" applyNumberFormat="1" applyFont="1" applyFill="1" applyBorder="1" applyAlignment="1">
      <alignment horizontal="center" vertical="center" wrapText="1"/>
    </xf>
    <xf numFmtId="168" fontId="11" fillId="0" borderId="0" xfId="3" applyNumberFormat="1" applyFont="1" applyFill="1" applyBorder="1" applyAlignment="1">
      <alignment horizontal="center" vertical="center"/>
    </xf>
    <xf numFmtId="0" fontId="13" fillId="0" borderId="0" xfId="3" applyFont="1" applyFill="1" applyBorder="1" applyAlignment="1">
      <alignment horizontal="center" vertical="center" wrapText="1"/>
    </xf>
    <xf numFmtId="10" fontId="11" fillId="0" borderId="0" xfId="3" applyNumberFormat="1" applyFont="1" applyFill="1" applyBorder="1" applyAlignment="1">
      <alignment horizontal="center" vertical="center"/>
    </xf>
    <xf numFmtId="164" fontId="24" fillId="0" borderId="0" xfId="0" applyNumberFormat="1" applyFont="1" applyFill="1" applyAlignment="1">
      <alignment horizontal="center" vertical="center"/>
    </xf>
    <xf numFmtId="2" fontId="17" fillId="2" borderId="0" xfId="0" applyNumberFormat="1" applyFont="1" applyFill="1" applyAlignment="1">
      <alignment horizontal="center" vertical="center"/>
    </xf>
    <xf numFmtId="2" fontId="17" fillId="0" borderId="0" xfId="0" applyNumberFormat="1" applyFont="1" applyFill="1" applyAlignment="1">
      <alignment horizontal="center" vertical="center"/>
    </xf>
    <xf numFmtId="1" fontId="0" fillId="0" borderId="0" xfId="0" applyNumberFormat="1" applyFill="1" applyAlignment="1">
      <alignment horizontal="center" vertical="center"/>
    </xf>
    <xf numFmtId="164" fontId="24" fillId="0" borderId="0" xfId="3" applyNumberFormat="1" applyFont="1" applyFill="1" applyBorder="1" applyAlignment="1">
      <alignment horizontal="center" vertical="center" wrapText="1"/>
    </xf>
    <xf numFmtId="169" fontId="11" fillId="2" borderId="0" xfId="0" applyNumberFormat="1" applyFont="1" applyFill="1" applyBorder="1" applyAlignment="1">
      <alignment horizontal="center" vertical="center" wrapText="1"/>
    </xf>
    <xf numFmtId="0" fontId="0" fillId="0" borderId="0" xfId="0" applyBorder="1" applyAlignment="1">
      <alignment horizontal="left" vertical="center" wrapText="1"/>
    </xf>
    <xf numFmtId="0" fontId="4" fillId="2" borderId="2" xfId="0" applyFont="1"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4" fillId="2" borderId="5" xfId="0" applyFont="1" applyFill="1" applyBorder="1"/>
    <xf numFmtId="0" fontId="0" fillId="2" borderId="7" xfId="0" applyFill="1" applyBorder="1"/>
    <xf numFmtId="0" fontId="0" fillId="2" borderId="8" xfId="0" applyFill="1" applyBorder="1"/>
    <xf numFmtId="0" fontId="0" fillId="2" borderId="9" xfId="0" applyFill="1" applyBorder="1"/>
    <xf numFmtId="0" fontId="5" fillId="2" borderId="5" xfId="0" applyFont="1" applyFill="1" applyBorder="1"/>
    <xf numFmtId="0" fontId="10" fillId="0" borderId="0" xfId="0" applyFont="1"/>
    <xf numFmtId="0" fontId="11" fillId="0" borderId="0" xfId="3" applyFont="1" applyAlignment="1">
      <alignment horizontal="left" vertical="center" wrapText="1"/>
    </xf>
    <xf numFmtId="0" fontId="11" fillId="0" borderId="0" xfId="3" applyFont="1" applyFill="1" applyAlignment="1">
      <alignment horizontal="left"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164" fontId="1" fillId="2" borderId="0" xfId="0" applyNumberFormat="1" applyFont="1" applyFill="1" applyAlignment="1">
      <alignment horizontal="center" vertical="center"/>
    </xf>
    <xf numFmtId="9" fontId="1" fillId="0" borderId="0" xfId="0" applyNumberFormat="1" applyFont="1" applyAlignment="1">
      <alignment horizontal="center" vertical="center"/>
    </xf>
    <xf numFmtId="164" fontId="1" fillId="0" borderId="0" xfId="0" applyNumberFormat="1" applyFont="1" applyAlignment="1">
      <alignment horizontal="center" vertical="center"/>
    </xf>
    <xf numFmtId="0" fontId="1" fillId="0" borderId="0" xfId="0" applyFont="1" applyAlignment="1">
      <alignment horizontal="center" vertical="center" wrapText="1"/>
    </xf>
    <xf numFmtId="165" fontId="1" fillId="0" borderId="0" xfId="0" applyNumberFormat="1" applyFont="1" applyAlignment="1">
      <alignment horizontal="center" vertical="center"/>
    </xf>
    <xf numFmtId="0" fontId="1" fillId="0" borderId="0" xfId="0" applyFont="1" applyAlignment="1">
      <alignment horizontal="center" vertical="center"/>
    </xf>
    <xf numFmtId="165" fontId="1" fillId="2" borderId="0" xfId="0" applyNumberFormat="1" applyFont="1" applyFill="1" applyAlignment="1">
      <alignment horizontal="center" vertical="center"/>
    </xf>
    <xf numFmtId="14" fontId="1" fillId="0" borderId="0" xfId="0" applyNumberFormat="1" applyFont="1" applyAlignment="1">
      <alignment horizontal="center" vertical="center"/>
    </xf>
    <xf numFmtId="0" fontId="1" fillId="2" borderId="0" xfId="0" applyFont="1" applyFill="1" applyAlignment="1">
      <alignment horizontal="center" vertical="center"/>
    </xf>
    <xf numFmtId="0" fontId="13" fillId="3" borderId="0" xfId="3" applyFont="1" applyFill="1" applyBorder="1" applyAlignment="1">
      <alignment horizontal="center" vertical="center" wrapText="1"/>
    </xf>
    <xf numFmtId="2" fontId="13" fillId="3" borderId="0" xfId="0" applyNumberFormat="1" applyFont="1" applyFill="1" applyAlignment="1">
      <alignment horizontal="center" vertical="center"/>
    </xf>
    <xf numFmtId="0" fontId="13" fillId="3" borderId="0" xfId="3" applyFont="1" applyFill="1" applyAlignment="1">
      <alignment horizontal="center" vertical="center" wrapText="1"/>
    </xf>
    <xf numFmtId="1" fontId="11" fillId="2" borderId="0" xfId="3" applyNumberFormat="1" applyFont="1" applyFill="1" applyBorder="1" applyAlignment="1">
      <alignment horizontal="center" vertical="center" wrapText="1"/>
    </xf>
    <xf numFmtId="2" fontId="13" fillId="2" borderId="0" xfId="0" applyNumberFormat="1" applyFont="1" applyFill="1" applyAlignment="1">
      <alignment horizontal="center" vertical="center"/>
    </xf>
    <xf numFmtId="0" fontId="1" fillId="0" borderId="0" xfId="0" applyFont="1" applyBorder="1" applyAlignment="1">
      <alignment horizontal="center" vertical="center"/>
    </xf>
    <xf numFmtId="0" fontId="11" fillId="0" borderId="0" xfId="3" applyFont="1" applyFill="1" applyBorder="1" applyAlignment="1">
      <alignment horizontal="center" vertical="center"/>
    </xf>
    <xf numFmtId="9" fontId="1" fillId="2" borderId="0" xfId="0" applyNumberFormat="1" applyFont="1" applyFill="1" applyAlignment="1">
      <alignment horizontal="center" vertical="center"/>
    </xf>
    <xf numFmtId="164" fontId="1" fillId="0" borderId="0" xfId="0" applyNumberFormat="1" applyFont="1" applyFill="1" applyAlignment="1">
      <alignment horizontal="center" vertical="center"/>
    </xf>
    <xf numFmtId="0" fontId="1" fillId="0" borderId="0" xfId="0" applyFont="1"/>
    <xf numFmtId="0" fontId="1" fillId="0" borderId="0" xfId="0" applyFont="1" applyAlignment="1">
      <alignment wrapText="1"/>
    </xf>
    <xf numFmtId="9" fontId="1" fillId="4" borderId="0" xfId="0" applyNumberFormat="1" applyFont="1" applyFill="1" applyAlignment="1">
      <alignment horizontal="center" vertical="center"/>
    </xf>
    <xf numFmtId="0" fontId="1" fillId="0" borderId="0" xfId="0" applyFont="1" applyAlignment="1">
      <alignment vertical="center"/>
    </xf>
    <xf numFmtId="165" fontId="1" fillId="0" borderId="0" xfId="0" applyNumberFormat="1" applyFont="1" applyFill="1" applyAlignment="1">
      <alignment horizontal="center" vertical="center"/>
    </xf>
    <xf numFmtId="0" fontId="1" fillId="0" borderId="0" xfId="0" applyFont="1" applyAlignment="1">
      <alignment horizontal="left" vertical="center"/>
    </xf>
    <xf numFmtId="1" fontId="24" fillId="2" borderId="0" xfId="3" applyNumberFormat="1" applyFont="1" applyFill="1" applyBorder="1" applyAlignment="1">
      <alignment horizontal="center" vertical="center" wrapText="1"/>
    </xf>
    <xf numFmtId="164" fontId="26" fillId="0" borderId="0" xfId="0" applyNumberFormat="1" applyFont="1" applyFill="1" applyAlignment="1">
      <alignment horizontal="center" vertical="center"/>
    </xf>
    <xf numFmtId="164" fontId="1" fillId="0" borderId="0" xfId="0" applyNumberFormat="1" applyFont="1" applyAlignment="1">
      <alignment horizontal="center" vertical="center" wrapText="1"/>
    </xf>
    <xf numFmtId="10" fontId="1" fillId="0" borderId="0" xfId="0" applyNumberFormat="1" applyFont="1" applyAlignment="1">
      <alignment horizontal="center" vertical="center" wrapText="1"/>
    </xf>
    <xf numFmtId="10" fontId="1" fillId="0" borderId="0" xfId="0" applyNumberFormat="1" applyFont="1" applyAlignment="1">
      <alignment horizontal="center" vertical="center"/>
    </xf>
    <xf numFmtId="10" fontId="1" fillId="2" borderId="0" xfId="0" applyNumberFormat="1" applyFont="1" applyFill="1" applyAlignment="1">
      <alignment horizontal="center" vertical="center"/>
    </xf>
    <xf numFmtId="2" fontId="1" fillId="2" borderId="0" xfId="0" applyNumberFormat="1" applyFont="1" applyFill="1" applyAlignment="1">
      <alignment horizontal="center" vertical="center"/>
    </xf>
    <xf numFmtId="171" fontId="1" fillId="2" borderId="0" xfId="0" applyNumberFormat="1" applyFont="1" applyFill="1" applyAlignment="1">
      <alignment horizontal="center" vertical="center"/>
    </xf>
    <xf numFmtId="168" fontId="13" fillId="3" borderId="0" xfId="3" applyNumberFormat="1" applyFont="1" applyFill="1" applyBorder="1" applyAlignment="1">
      <alignment horizontal="center" vertical="center"/>
    </xf>
    <xf numFmtId="0" fontId="13" fillId="3" borderId="0" xfId="3" applyFont="1" applyFill="1" applyBorder="1" applyAlignment="1">
      <alignment horizontal="center" vertical="center"/>
    </xf>
    <xf numFmtId="0" fontId="13" fillId="2" borderId="0" xfId="3" applyFont="1" applyFill="1" applyBorder="1" applyAlignment="1">
      <alignment horizontal="center" vertical="center" wrapText="1"/>
    </xf>
    <xf numFmtId="0" fontId="13" fillId="2" borderId="0" xfId="3" applyFont="1" applyFill="1" applyBorder="1" applyAlignment="1">
      <alignment horizontal="center" vertical="center"/>
    </xf>
    <xf numFmtId="0" fontId="11" fillId="0" borderId="0" xfId="3" applyFont="1" applyAlignment="1">
      <alignment vertical="center"/>
    </xf>
    <xf numFmtId="0" fontId="11" fillId="0" borderId="0" xfId="0" applyFont="1" applyBorder="1" applyAlignment="1">
      <alignment wrapText="1"/>
    </xf>
    <xf numFmtId="14" fontId="11" fillId="0" borderId="0" xfId="0" applyNumberFormat="1" applyFont="1" applyBorder="1" applyAlignment="1">
      <alignment horizontal="center" vertical="center" wrapText="1"/>
    </xf>
    <xf numFmtId="0" fontId="11" fillId="0" borderId="0" xfId="0" applyFont="1" applyBorder="1" applyAlignment="1">
      <alignment vertical="center" wrapText="1"/>
    </xf>
    <xf numFmtId="0" fontId="11" fillId="0" borderId="0" xfId="3" applyFont="1" applyFill="1" applyBorder="1" applyAlignment="1">
      <alignment horizontal="left" vertical="center"/>
    </xf>
    <xf numFmtId="165" fontId="11" fillId="2" borderId="0" xfId="3" applyNumberFormat="1" applyFont="1" applyFill="1" applyAlignment="1">
      <alignment horizont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wrapText="1"/>
    </xf>
    <xf numFmtId="165" fontId="1" fillId="0" borderId="0" xfId="0" applyNumberFormat="1" applyFont="1" applyBorder="1" applyAlignment="1">
      <alignment horizontal="center" vertical="center" wrapText="1"/>
    </xf>
    <xf numFmtId="165" fontId="1" fillId="0" borderId="0" xfId="0" applyNumberFormat="1" applyFont="1" applyAlignment="1">
      <alignment horizontal="center" vertical="center" wrapText="1"/>
    </xf>
    <xf numFmtId="0" fontId="11" fillId="0" borderId="0" xfId="3" applyFont="1" applyAlignment="1">
      <alignment horizontal="left" vertical="center" wrapText="1"/>
    </xf>
    <xf numFmtId="0" fontId="0" fillId="0" borderId="0" xfId="0" applyAlignment="1">
      <alignment horizontal="left" vertical="center" wrapText="1"/>
    </xf>
    <xf numFmtId="0" fontId="0" fillId="0" borderId="0" xfId="0" applyNumberFormat="1" applyFont="1" applyBorder="1" applyAlignment="1">
      <alignment horizontal="center" vertical="center" wrapText="1"/>
    </xf>
    <xf numFmtId="2" fontId="13" fillId="3" borderId="0" xfId="0" applyNumberFormat="1" applyFont="1" applyFill="1" applyAlignment="1">
      <alignment horizontal="center" vertical="center" wrapText="1"/>
    </xf>
    <xf numFmtId="2" fontId="10" fillId="3" borderId="0" xfId="0" applyNumberFormat="1" applyFont="1" applyFill="1" applyAlignment="1">
      <alignment horizontal="center" vertical="center" wrapText="1"/>
    </xf>
    <xf numFmtId="2" fontId="13" fillId="3" borderId="10" xfId="0" applyNumberFormat="1" applyFont="1" applyFill="1" applyBorder="1" applyAlignment="1">
      <alignment horizontal="center" vertical="center" wrapText="1"/>
    </xf>
    <xf numFmtId="2" fontId="10" fillId="3" borderId="10" xfId="0" applyNumberFormat="1" applyFont="1" applyFill="1" applyBorder="1" applyAlignment="1">
      <alignment horizontal="center" vertical="center" wrapText="1"/>
    </xf>
    <xf numFmtId="0" fontId="0" fillId="3" borderId="0" xfId="0" applyFill="1" applyAlignment="1">
      <alignment horizontal="center" vertical="center"/>
    </xf>
    <xf numFmtId="2" fontId="13" fillId="3" borderId="11" xfId="0" applyNumberFormat="1" applyFont="1" applyFill="1" applyBorder="1" applyAlignment="1">
      <alignment horizontal="center" vertical="center" wrapText="1"/>
    </xf>
    <xf numFmtId="2" fontId="10" fillId="3" borderId="11" xfId="0" applyNumberFormat="1" applyFont="1" applyFill="1" applyBorder="1" applyAlignment="1">
      <alignment horizontal="center" vertical="center" wrapText="1"/>
    </xf>
    <xf numFmtId="2" fontId="13" fillId="3" borderId="12" xfId="0" applyNumberFormat="1" applyFont="1" applyFill="1" applyBorder="1" applyAlignment="1">
      <alignment horizontal="center" vertical="center"/>
    </xf>
    <xf numFmtId="2" fontId="10" fillId="3" borderId="13" xfId="0" applyNumberFormat="1" applyFont="1" applyFill="1" applyBorder="1" applyAlignment="1">
      <alignment horizontal="center" vertical="center"/>
    </xf>
    <xf numFmtId="2" fontId="13" fillId="3" borderId="13" xfId="0" applyNumberFormat="1" applyFont="1" applyFill="1" applyBorder="1" applyAlignment="1">
      <alignment horizontal="center" vertical="center"/>
    </xf>
    <xf numFmtId="0" fontId="13" fillId="3" borderId="14" xfId="3" applyFont="1" applyFill="1" applyBorder="1" applyAlignment="1">
      <alignment horizontal="center" vertical="center" wrapText="1"/>
    </xf>
    <xf numFmtId="0" fontId="13" fillId="3" borderId="12" xfId="3" applyFont="1" applyFill="1" applyBorder="1" applyAlignment="1">
      <alignment horizontal="center" vertical="center" wrapText="1"/>
    </xf>
    <xf numFmtId="0" fontId="13" fillId="3" borderId="0" xfId="0" applyFont="1" applyFill="1" applyAlignment="1">
      <alignment horizontal="center" vertical="center" wrapText="1"/>
    </xf>
    <xf numFmtId="0" fontId="10" fillId="3" borderId="0" xfId="0" applyFont="1" applyFill="1" applyAlignment="1">
      <alignment horizontal="center" vertical="center" wrapText="1"/>
    </xf>
    <xf numFmtId="165" fontId="0" fillId="0" borderId="0" xfId="0" applyNumberFormat="1" applyFont="1" applyAlignment="1">
      <alignment horizontal="left" vertical="center"/>
    </xf>
    <xf numFmtId="0" fontId="11" fillId="0" borderId="0" xfId="0" applyFont="1" applyAlignment="1">
      <alignment horizontal="center" vertical="center"/>
    </xf>
    <xf numFmtId="0" fontId="11" fillId="0" borderId="0" xfId="3" applyFont="1" applyAlignment="1">
      <alignment horizontal="left" vertical="center" wrapText="1"/>
    </xf>
    <xf numFmtId="0" fontId="11" fillId="0" borderId="0" xfId="3" applyFont="1" applyFill="1" applyAlignment="1">
      <alignment horizontal="left" vertical="center" wrapText="1"/>
    </xf>
    <xf numFmtId="0" fontId="13" fillId="3" borderId="10" xfId="3" applyFont="1" applyFill="1" applyBorder="1" applyAlignment="1">
      <alignment horizontal="center" vertical="center" wrapText="1"/>
    </xf>
    <xf numFmtId="168" fontId="13" fillId="3" borderId="0" xfId="3" applyNumberFormat="1" applyFont="1" applyFill="1" applyBorder="1" applyAlignment="1">
      <alignment horizontal="center" vertical="center" wrapText="1"/>
    </xf>
    <xf numFmtId="0" fontId="0" fillId="0" borderId="0" xfId="0" applyFont="1" applyAlignment="1">
      <alignment horizontal="left" vertical="center"/>
    </xf>
    <xf numFmtId="0" fontId="7" fillId="3" borderId="0" xfId="0" applyFont="1" applyFill="1" applyAlignment="1">
      <alignment horizontal="center" vertical="center" wrapText="1"/>
    </xf>
    <xf numFmtId="0" fontId="12" fillId="3" borderId="0" xfId="0" applyFont="1" applyFill="1" applyAlignment="1">
      <alignment horizontal="center" vertical="center" wrapText="1"/>
    </xf>
    <xf numFmtId="0" fontId="14" fillId="0" borderId="0" xfId="2" applyFont="1" applyAlignment="1" applyProtection="1">
      <alignment horizontal="left"/>
    </xf>
    <xf numFmtId="0" fontId="0" fillId="0" borderId="0" xfId="0" applyFont="1" applyAlignment="1">
      <alignment horizontal="left" wrapText="1"/>
    </xf>
    <xf numFmtId="2" fontId="7" fillId="3" borderId="0" xfId="0" applyNumberFormat="1" applyFont="1" applyFill="1" applyAlignment="1">
      <alignment horizontal="center" vertical="center" wrapText="1"/>
    </xf>
    <xf numFmtId="2" fontId="12" fillId="3" borderId="0" xfId="0" applyNumberFormat="1" applyFont="1" applyFill="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11" fillId="0" borderId="0" xfId="3" applyFont="1" applyAlignment="1">
      <alignment horizontal="left" vertical="center" wrapText="1"/>
    </xf>
    <xf numFmtId="0" fontId="11" fillId="0" borderId="0" xfId="3" applyFont="1" applyFill="1" applyAlignment="1">
      <alignment horizontal="left" vertical="center" wrapText="1"/>
    </xf>
    <xf numFmtId="0" fontId="0" fillId="0" borderId="0" xfId="0" applyFont="1" applyBorder="1" applyAlignment="1">
      <alignment horizontal="left" vertical="center" wrapText="1"/>
    </xf>
    <xf numFmtId="0" fontId="1" fillId="0" borderId="0" xfId="0" applyFont="1" applyBorder="1" applyAlignment="1">
      <alignment horizontal="left" vertical="center" wrapText="1"/>
    </xf>
    <xf numFmtId="0" fontId="1" fillId="0" borderId="15" xfId="0" applyFont="1" applyBorder="1" applyAlignment="1">
      <alignment horizontal="left" vertical="center" wrapText="1"/>
    </xf>
    <xf numFmtId="0" fontId="11" fillId="0" borderId="0" xfId="3" applyFont="1" applyAlignment="1">
      <alignment horizontal="left" wrapText="1"/>
    </xf>
    <xf numFmtId="0" fontId="0" fillId="0" borderId="0" xfId="0" applyAlignment="1">
      <alignment horizontal="left" vertical="top" wrapText="1"/>
    </xf>
    <xf numFmtId="0" fontId="11" fillId="0" borderId="16" xfId="3" applyFont="1" applyBorder="1" applyAlignment="1">
      <alignment horizontal="left" vertical="center" wrapText="1"/>
    </xf>
    <xf numFmtId="0" fontId="11" fillId="0" borderId="17" xfId="3" applyFont="1" applyBorder="1" applyAlignment="1">
      <alignment horizontal="left" vertical="center" wrapText="1"/>
    </xf>
    <xf numFmtId="0" fontId="11" fillId="0" borderId="18" xfId="3" applyFont="1" applyBorder="1" applyAlignment="1">
      <alignment horizontal="left" vertical="center" wrapText="1"/>
    </xf>
    <xf numFmtId="0" fontId="0" fillId="0" borderId="0" xfId="0" applyAlignment="1">
      <alignment horizontal="left" vertical="center" wrapText="1"/>
    </xf>
    <xf numFmtId="0" fontId="11" fillId="0" borderId="0" xfId="3" applyFont="1" applyAlignment="1">
      <alignment horizontal="left" vertical="top" wrapText="1"/>
    </xf>
    <xf numFmtId="0" fontId="0" fillId="0" borderId="0" xfId="0" applyFont="1" applyAlignment="1">
      <alignment horizontal="left" vertical="center" wrapText="1"/>
    </xf>
  </cellXfs>
  <cellStyles count="12">
    <cellStyle name="Date" xfId="5"/>
    <cellStyle name="En-tête 1" xfId="6"/>
    <cellStyle name="En-tête 2" xfId="7"/>
    <cellStyle name="Financier0" xfId="8"/>
    <cellStyle name="Lien hypertexte" xfId="2" builtinId="8"/>
    <cellStyle name="Milliers" xfId="1" builtinId="3"/>
    <cellStyle name="Monétaire0" xfId="9"/>
    <cellStyle name="Normal" xfId="0" builtinId="0"/>
    <cellStyle name="Normal 2" xfId="3"/>
    <cellStyle name="Pourcentage" xfId="4" builtinId="5"/>
    <cellStyle name="Total 2" xfId="10"/>
    <cellStyle name="Virgule fixe"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106600</xdr:colOff>
      <xdr:row>1</xdr:row>
      <xdr:rowOff>152400</xdr:rowOff>
    </xdr:from>
    <xdr:to>
      <xdr:col>17</xdr:col>
      <xdr:colOff>600843</xdr:colOff>
      <xdr:row>7</xdr:row>
      <xdr:rowOff>57149</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12600" y="342900"/>
          <a:ext cx="2780243" cy="105727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hyperlink" Target="http://www.legifrance.gouv.fr/affichTexteArticle.do;jsessionid=59D7B79F52D4792291A607E304939D25.tpdjo09v_3?cidTexte=JORFTEXT000000791289&amp;idArticle=LEGIARTI000006221812&amp;dateTexte=20031230&amp;categorieLien=id" TargetMode="External"/><Relationship Id="rId3" Type="http://schemas.openxmlformats.org/officeDocument/2006/relationships/hyperlink" Target="http://legifrance.gouv.fr/affichTexteArticle.do;jsessionid=74B6FCBBE75E37F0115D9428F2169E51.tpdjo12v_1?cidTexte=JORFTEXT000024152033&amp;idArticle=LEGIARTI000024154164&amp;dateTexte=20111118&amp;categorieLien=id" TargetMode="External"/><Relationship Id="rId7" Type="http://schemas.openxmlformats.org/officeDocument/2006/relationships/hyperlink" Target="http://www.legifrance.gouv.fr/affichTexte.do;jsessionid=59D7B79F52D4792291A607E304939D25.tpdjo09v_3?cidTexte=JORFTEXT000000806166&amp;dateTexte=20111122" TargetMode="External"/><Relationship Id="rId2"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 Id="rId1" Type="http://schemas.openxmlformats.org/officeDocument/2006/relationships/hyperlink" Target="http://legifrance.gouv.fr/affichTexteArticle.do;jsessionid=74B6FCBBE75E37F0115D9428F2169E51.tpdjo12v_1?cidTexte=JORFTEXT000000240757&amp;idArticle=LEGIARTI000006322286&amp;dateTexte=20071227&amp;categorieLien=id" TargetMode="External"/><Relationship Id="rId6" Type="http://schemas.openxmlformats.org/officeDocument/2006/relationships/hyperlink" Target="http://legifrance.gouv.fr/affichTexteArticle.do;jsessionid=74B6FCBBE75E37F0115D9428F2169E51.tpdjo12v_1?cidTexte=JORFTEXT000018557013&amp;idArticle=LEGIARTI000018559051&amp;dateTexte=20080805&amp;categorieLien=id" TargetMode="External"/><Relationship Id="rId5" Type="http://schemas.openxmlformats.org/officeDocument/2006/relationships/hyperlink" Target="http://legifrance.gouv.fr/affichTexteArticle.do;jsessionid=74B6FCBBE75E37F0115D9428F2169E51.tpdjo12v_1?cidTexte=JORFTEXT000020496091&amp;idArticle=LEGIARTI000020499734&amp;dateTexte=20091231&amp;categorieLien=id" TargetMode="External"/><Relationship Id="rId4" Type="http://schemas.openxmlformats.org/officeDocument/2006/relationships/hyperlink" Target="http://legifrance.gouv.fr/affichTexteArticle.do;jsessionid=74B6FCBBE75E37F0115D9428F2169E51.tpdjo12v_1?cidTexte=JORFTEXT000022166146&amp;idArticle=LEGIARTI000022169561&amp;dateTexte=20110611&amp;categorieLien=id" TargetMode="External"/><Relationship Id="rId9"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 Id="rId2" Type="http://schemas.openxmlformats.org/officeDocument/2006/relationships/hyperlink" Target="http://legifrance.gouv.fr/affichTexteArticle.do;jsessionid=74B6FCBBE75E37F0115D9428F2169E51.tpdjo12v_1?cidTexte=JORFTEXT000000240757&amp;idArticle=LEGIARTI000006322286&amp;dateTexte=20071227&amp;categorieLien=id" TargetMode="External"/><Relationship Id="rId1" Type="http://schemas.openxmlformats.org/officeDocument/2006/relationships/hyperlink" Target="http://www.legifrance.gouv.fr/affichTexteArticle.do;jsessionid=304501568C86C5032D74B02778A01E23.tpdjo08v_2?cidTexte=JORFTEXT000018557013&amp;idArticle=LEGIARTI000018559051&amp;dateTexte=20090409&amp;categorieLien=id" TargetMode="External"/><Relationship Id="rId4"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 Id="rId1"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legifrance.gouv.fr/affichTexteArticle.do;jsessionid=74B6FCBBE75E37F0115D9428F2169E51.tpdjo12v_1?cidTexte=JORFTEXT000000596281&amp;idArticle=LEGIARTI000006212781&amp;dateTexte=20040531&amp;categorieLien=id"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legifrance.gouv.fr/affichTexteArticle.do;jsessionid=304501568C86C5032D74B02778A01E23.tpdjo08v_2?cidTexte=JORFTEXT000018557013&amp;idArticle=LEGIARTI000018559051&amp;dateTexte=20090409&amp;categorieLien=id" TargetMode="External"/><Relationship Id="rId1" Type="http://schemas.openxmlformats.org/officeDocument/2006/relationships/hyperlink" Target="http://www.legifrance.gouv.fr/affichTexteArticle.do;jsessionid=304501568C86C5032D74B02778A01E23.tpdjo08v_2?cidTexte=JORFTEXT000022166146&amp;idArticle=LEGIARTI000022169561&amp;dateTexte=20110611&amp;categorieLien=id"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legifrance.gouv.fr/affichTexteArticle.do;jsessionid=A03575D90595BEEB58D0BA21CE300CE0.tpdjo08v_2?cidTexte=JORFTEXT000018557013&amp;idArticle=LEGIARTI000018559051&amp;dateTexte=20090409&amp;categorieLien=id" TargetMode="External"/><Relationship Id="rId2" Type="http://schemas.openxmlformats.org/officeDocument/2006/relationships/hyperlink" Target="http://www.legifrance.gouv.fr/affichTexteArticle.do;jsessionid=A03575D90595BEEB58D0BA21CE300CE0.tpdjo08v_2?cidTexte=JORFTEXT000020496091&amp;idArticle=LEGIARTI000020499734&amp;dateTexte=20100430&amp;categorieLien=id" TargetMode="External"/><Relationship Id="rId1" Type="http://schemas.openxmlformats.org/officeDocument/2006/relationships/hyperlink" Target="http://www.legifrance.gouv.fr/affichTexteArticle.do;jsessionid=A03575D90595BEEB58D0BA21CE300CE0.tpdjo08v_2?cidTexte=JORFTEXT000022166146&amp;idArticle=LEGIARTI000022169561&amp;dateTexte=20110611&amp;categorieLien=id"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44"/>
  <sheetViews>
    <sheetView topLeftCell="A4" workbookViewId="0">
      <selection activeCell="D27" sqref="D27"/>
    </sheetView>
  </sheetViews>
  <sheetFormatPr baseColWidth="10" defaultColWidth="11.42578125" defaultRowHeight="15" x14ac:dyDescent="0.25"/>
  <cols>
    <col min="1" max="1" width="11.42578125" customWidth="1"/>
    <col min="2" max="2" width="4.28515625" customWidth="1"/>
    <col min="3" max="3" width="5" customWidth="1"/>
  </cols>
  <sheetData>
    <row r="3" spans="2:16" ht="15.75" x14ac:dyDescent="0.25">
      <c r="B3" s="1" t="s">
        <v>326</v>
      </c>
    </row>
    <row r="5" spans="2:16" ht="15" customHeight="1" x14ac:dyDescent="0.25">
      <c r="B5" s="291" t="s">
        <v>338</v>
      </c>
      <c r="C5" s="292"/>
      <c r="D5" s="292"/>
      <c r="E5" s="292"/>
      <c r="F5" s="292"/>
      <c r="G5" s="292"/>
      <c r="H5" s="292"/>
      <c r="I5" s="292"/>
      <c r="J5" s="292"/>
      <c r="K5" s="292"/>
      <c r="L5" s="292"/>
      <c r="M5" s="293"/>
    </row>
    <row r="6" spans="2:16" x14ac:dyDescent="0.25">
      <c r="B6" s="294"/>
      <c r="C6" s="295"/>
      <c r="D6" s="295"/>
      <c r="E6" s="295"/>
      <c r="F6" s="295"/>
      <c r="G6" s="295"/>
      <c r="H6" s="295"/>
      <c r="I6" s="295"/>
      <c r="J6" s="295"/>
      <c r="K6" s="295"/>
      <c r="L6" s="295"/>
      <c r="M6" s="296"/>
    </row>
    <row r="7" spans="2:16" x14ac:dyDescent="0.25">
      <c r="B7" s="294"/>
      <c r="C7" s="295"/>
      <c r="D7" s="295"/>
      <c r="E7" s="295"/>
      <c r="F7" s="295"/>
      <c r="G7" s="295"/>
      <c r="H7" s="295"/>
      <c r="I7" s="295"/>
      <c r="J7" s="295"/>
      <c r="K7" s="295"/>
      <c r="L7" s="295"/>
      <c r="M7" s="296"/>
    </row>
    <row r="8" spans="2:16" x14ac:dyDescent="0.25">
      <c r="B8" s="294"/>
      <c r="C8" s="295"/>
      <c r="D8" s="295"/>
      <c r="E8" s="295"/>
      <c r="F8" s="295"/>
      <c r="G8" s="295"/>
      <c r="H8" s="295"/>
      <c r="I8" s="295"/>
      <c r="J8" s="295"/>
      <c r="K8" s="295"/>
      <c r="L8" s="295"/>
      <c r="M8" s="296"/>
    </row>
    <row r="9" spans="2:16" x14ac:dyDescent="0.25">
      <c r="B9" s="297"/>
      <c r="C9" s="298"/>
      <c r="D9" s="298"/>
      <c r="E9" s="298"/>
      <c r="F9" s="298"/>
      <c r="G9" s="298"/>
      <c r="H9" s="298"/>
      <c r="I9" s="298"/>
      <c r="J9" s="298"/>
      <c r="K9" s="298"/>
      <c r="L9" s="298"/>
      <c r="M9" s="299"/>
    </row>
    <row r="10" spans="2:16" x14ac:dyDescent="0.25">
      <c r="C10" s="199"/>
      <c r="D10" s="199"/>
      <c r="E10" s="199"/>
      <c r="F10" s="199"/>
      <c r="G10" s="199"/>
      <c r="H10" s="199"/>
      <c r="I10" s="199"/>
      <c r="J10" s="199"/>
      <c r="K10" s="199"/>
      <c r="L10" s="199"/>
      <c r="M10" s="199"/>
    </row>
    <row r="11" spans="2:16" x14ac:dyDescent="0.25">
      <c r="B11" s="210" t="s">
        <v>328</v>
      </c>
      <c r="J11" s="200" t="s">
        <v>0</v>
      </c>
      <c r="K11" s="201"/>
      <c r="L11" s="201"/>
      <c r="M11" s="201"/>
      <c r="N11" s="201"/>
      <c r="O11" s="201"/>
      <c r="P11" s="202"/>
    </row>
    <row r="12" spans="2:16" x14ac:dyDescent="0.25">
      <c r="C12">
        <f>C9+1</f>
        <v>1</v>
      </c>
      <c r="D12" s="2" t="s">
        <v>124</v>
      </c>
      <c r="J12" s="203" t="s">
        <v>2</v>
      </c>
      <c r="K12" s="3"/>
      <c r="L12" s="3"/>
      <c r="M12" s="3"/>
      <c r="N12" s="3"/>
      <c r="O12" s="3"/>
      <c r="P12" s="204"/>
    </row>
    <row r="13" spans="2:16" x14ac:dyDescent="0.25">
      <c r="C13">
        <f t="shared" ref="C13:C15" si="0">C12+1</f>
        <v>2</v>
      </c>
      <c r="D13" s="2" t="s">
        <v>123</v>
      </c>
      <c r="J13" s="209"/>
      <c r="K13" s="3"/>
      <c r="L13" s="3"/>
      <c r="M13" s="3"/>
      <c r="N13" s="3"/>
      <c r="O13" s="3"/>
      <c r="P13" s="204"/>
    </row>
    <row r="14" spans="2:16" x14ac:dyDescent="0.25">
      <c r="C14">
        <f t="shared" si="0"/>
        <v>3</v>
      </c>
      <c r="D14" s="2" t="s">
        <v>130</v>
      </c>
      <c r="J14" s="205" t="s">
        <v>1</v>
      </c>
      <c r="K14" s="3"/>
      <c r="L14" s="3"/>
      <c r="M14" s="3"/>
      <c r="N14" s="3"/>
      <c r="O14" s="3"/>
      <c r="P14" s="204"/>
    </row>
    <row r="15" spans="2:16" x14ac:dyDescent="0.25">
      <c r="C15">
        <f t="shared" si="0"/>
        <v>4</v>
      </c>
      <c r="D15" s="2" t="s">
        <v>140</v>
      </c>
      <c r="J15" s="203" t="s">
        <v>339</v>
      </c>
      <c r="K15" s="3"/>
      <c r="L15" s="3"/>
      <c r="M15" s="3"/>
      <c r="N15" s="3"/>
      <c r="O15" s="3"/>
      <c r="P15" s="204"/>
    </row>
    <row r="16" spans="2:16" x14ac:dyDescent="0.25">
      <c r="C16">
        <f>C15+1</f>
        <v>5</v>
      </c>
      <c r="D16" s="2" t="s">
        <v>160</v>
      </c>
      <c r="J16" s="206" t="s">
        <v>340</v>
      </c>
      <c r="K16" s="207"/>
      <c r="L16" s="207"/>
      <c r="M16" s="207"/>
      <c r="N16" s="207"/>
      <c r="O16" s="207"/>
      <c r="P16" s="208"/>
    </row>
    <row r="17" spans="2:7" x14ac:dyDescent="0.25">
      <c r="C17">
        <f t="shared" ref="C17" si="1">C16+1</f>
        <v>6</v>
      </c>
      <c r="D17" s="2" t="s">
        <v>159</v>
      </c>
    </row>
    <row r="18" spans="2:7" x14ac:dyDescent="0.25">
      <c r="B18" s="210" t="s">
        <v>327</v>
      </c>
      <c r="C18" s="2"/>
      <c r="G18" s="92"/>
    </row>
    <row r="19" spans="2:7" x14ac:dyDescent="0.25">
      <c r="B19" s="210"/>
      <c r="C19">
        <v>7</v>
      </c>
      <c r="D19" s="2" t="s">
        <v>341</v>
      </c>
      <c r="G19" s="92"/>
    </row>
    <row r="20" spans="2:7" x14ac:dyDescent="0.25">
      <c r="B20" s="210"/>
      <c r="C20">
        <v>8</v>
      </c>
      <c r="D20" s="2" t="s">
        <v>168</v>
      </c>
      <c r="G20" s="92"/>
    </row>
    <row r="21" spans="2:7" x14ac:dyDescent="0.25">
      <c r="B21" s="210"/>
      <c r="C21">
        <f>C20+1</f>
        <v>9</v>
      </c>
      <c r="D21" s="2" t="s">
        <v>86</v>
      </c>
      <c r="G21" s="92"/>
    </row>
    <row r="22" spans="2:7" x14ac:dyDescent="0.25">
      <c r="B22" s="210" t="s">
        <v>329</v>
      </c>
      <c r="D22" s="93"/>
      <c r="E22" s="92"/>
      <c r="F22" s="92"/>
    </row>
    <row r="23" spans="2:7" x14ac:dyDescent="0.25">
      <c r="C23">
        <f>C21+1</f>
        <v>10</v>
      </c>
      <c r="D23" s="2" t="s">
        <v>197</v>
      </c>
    </row>
    <row r="24" spans="2:7" x14ac:dyDescent="0.25">
      <c r="C24">
        <f>C23+1</f>
        <v>11</v>
      </c>
      <c r="D24" s="2" t="s">
        <v>198</v>
      </c>
    </row>
    <row r="25" spans="2:7" x14ac:dyDescent="0.25">
      <c r="C25">
        <f t="shared" ref="C25:C38" si="2">C24+1</f>
        <v>12</v>
      </c>
      <c r="D25" s="2" t="s">
        <v>332</v>
      </c>
    </row>
    <row r="26" spans="2:7" x14ac:dyDescent="0.25">
      <c r="C26">
        <f t="shared" si="2"/>
        <v>13</v>
      </c>
      <c r="D26" s="2" t="s">
        <v>79</v>
      </c>
    </row>
    <row r="27" spans="2:7" x14ac:dyDescent="0.25">
      <c r="C27">
        <f t="shared" si="2"/>
        <v>14</v>
      </c>
      <c r="D27" s="2" t="s">
        <v>331</v>
      </c>
    </row>
    <row r="28" spans="2:7" x14ac:dyDescent="0.25">
      <c r="C28">
        <f t="shared" si="2"/>
        <v>15</v>
      </c>
      <c r="D28" s="2" t="s">
        <v>333</v>
      </c>
    </row>
    <row r="29" spans="2:7" x14ac:dyDescent="0.25">
      <c r="C29">
        <f t="shared" si="2"/>
        <v>16</v>
      </c>
      <c r="D29" s="2" t="s">
        <v>200</v>
      </c>
    </row>
    <row r="30" spans="2:7" x14ac:dyDescent="0.25">
      <c r="C30">
        <f t="shared" si="2"/>
        <v>17</v>
      </c>
      <c r="D30" s="2" t="s">
        <v>199</v>
      </c>
    </row>
    <row r="31" spans="2:7" x14ac:dyDescent="0.25">
      <c r="C31">
        <f t="shared" si="2"/>
        <v>18</v>
      </c>
      <c r="D31" s="2" t="s">
        <v>188</v>
      </c>
    </row>
    <row r="32" spans="2:7" x14ac:dyDescent="0.25">
      <c r="C32">
        <f>C31+1</f>
        <v>19</v>
      </c>
      <c r="D32" s="2" t="s">
        <v>204</v>
      </c>
    </row>
    <row r="33" spans="2:11" x14ac:dyDescent="0.25">
      <c r="C33">
        <f t="shared" si="2"/>
        <v>20</v>
      </c>
      <c r="D33" s="2" t="s">
        <v>203</v>
      </c>
      <c r="K33" s="2"/>
    </row>
    <row r="34" spans="2:11" x14ac:dyDescent="0.25">
      <c r="C34">
        <f t="shared" si="2"/>
        <v>21</v>
      </c>
      <c r="D34" s="2" t="s">
        <v>85</v>
      </c>
      <c r="K34" s="2"/>
    </row>
    <row r="35" spans="2:11" x14ac:dyDescent="0.25">
      <c r="C35">
        <f t="shared" si="2"/>
        <v>22</v>
      </c>
      <c r="D35" s="2" t="s">
        <v>334</v>
      </c>
      <c r="K35" s="2"/>
    </row>
    <row r="36" spans="2:11" x14ac:dyDescent="0.25">
      <c r="C36">
        <f t="shared" si="2"/>
        <v>23</v>
      </c>
      <c r="D36" s="2" t="s">
        <v>335</v>
      </c>
      <c r="K36" s="2"/>
    </row>
    <row r="37" spans="2:11" x14ac:dyDescent="0.25">
      <c r="C37">
        <f t="shared" si="2"/>
        <v>24</v>
      </c>
      <c r="D37" s="2" t="s">
        <v>336</v>
      </c>
      <c r="K37" s="2"/>
    </row>
    <row r="38" spans="2:11" x14ac:dyDescent="0.25">
      <c r="C38">
        <f t="shared" si="2"/>
        <v>25</v>
      </c>
      <c r="D38" s="2" t="s">
        <v>337</v>
      </c>
      <c r="K38" s="2"/>
    </row>
    <row r="39" spans="2:11" x14ac:dyDescent="0.25">
      <c r="B39" s="210" t="s">
        <v>330</v>
      </c>
      <c r="D39" s="116"/>
    </row>
    <row r="40" spans="2:11" x14ac:dyDescent="0.25">
      <c r="C40">
        <f>C38+1</f>
        <v>26</v>
      </c>
      <c r="D40" s="2" t="s">
        <v>201</v>
      </c>
    </row>
    <row r="41" spans="2:11" x14ac:dyDescent="0.25">
      <c r="C41">
        <f>C40+1</f>
        <v>27</v>
      </c>
      <c r="D41" s="2" t="s">
        <v>51</v>
      </c>
    </row>
    <row r="42" spans="2:11" x14ac:dyDescent="0.25">
      <c r="C42">
        <f>C41+1</f>
        <v>28</v>
      </c>
      <c r="D42" s="2" t="s">
        <v>202</v>
      </c>
    </row>
    <row r="43" spans="2:11" x14ac:dyDescent="0.25">
      <c r="B43" s="210" t="s">
        <v>342</v>
      </c>
    </row>
    <row r="44" spans="2:11" x14ac:dyDescent="0.25">
      <c r="C44">
        <f>C42+1</f>
        <v>29</v>
      </c>
      <c r="D44" s="2" t="s">
        <v>318</v>
      </c>
    </row>
  </sheetData>
  <mergeCells count="1">
    <mergeCell ref="B5:M9"/>
  </mergeCells>
  <hyperlinks>
    <hyperlink ref="D12" location="deduc_sal!A1" display="Déductions salaires, pensions (deduc_sal)"/>
    <hyperlink ref="D13" location="RCM!A1" display="Revenu des valeurs et capitaux mobiliers (RCM)"/>
    <hyperlink ref="D14" location="micro!A1" display="Régimes micro-entreprise et foncier (micro)"/>
    <hyperlink ref="D15" location="charg_deduc!A1" display="Charges déductibles du revenu brut global (charg_deduc)"/>
    <hyperlink ref="D16" location="abat_RNI!A1" display="Abattement pour revenu net imposable (abt_RNI)"/>
    <hyperlink ref="D17" location="exo_IR!A1" display="Exonération d'IR (exo_IR)"/>
    <hyperlink ref="D19" location="'Barème IR'!A1" display="Seuils et taux d'imposition au titre du abrème de l'IR (Barème IR)"/>
    <hyperlink ref="D20" location="plaf_qf!A1" display="Plafonnement de quotient familial et décote (plaf_qf)"/>
    <hyperlink ref="D21" location="pv!A1" display="Imposition des plus-values (pv)"/>
    <hyperlink ref="D23" location="dons!A1" display="Dons (dons)"/>
    <hyperlink ref="D24" location="cot_synd!A1" display="Cotisations syndicales (cot_synd)"/>
    <hyperlink ref="D25" location="cot_synd!A1" display="Souscription au capital de SOFIPECHE (SOFIPECHE)"/>
    <hyperlink ref="D26" location="sal_dom!A1" display="Emploi d'un salarié à domicile (saldom)"/>
    <hyperlink ref="D27" location="prest_compen!A1" display="Prestation compensatoire (prest_compen)"/>
    <hyperlink ref="D28" location="FCP!A1" display="Souscription de parts de fonds communs de placement dans l'innovation (FCP)"/>
    <hyperlink ref="D29" location="SOFICA!A1" display="Souscription au capital de SOFICA (SOFICA)"/>
    <hyperlink ref="D30" location="PME!A1" display="Souscription au capital des PME (PME)"/>
    <hyperlink ref="D31" location="forêt!A1" display="Investissement et travaux forestiers (forêt)"/>
    <hyperlink ref="D32" location="invest_loc!A1" display="Investissement locatif dans le secteur touristique (invest_loc)"/>
    <hyperlink ref="D33" location="Outremer!A1" display="Investissement dans les DOM-TOM (Outremer)"/>
    <hyperlink ref="D34" location="enfscol!A1" display="Réductions pour enfants scolarisés (enfscol)"/>
    <hyperlink ref="D35" location="heberg_santé!A1" display="Dépenses d’accueil dans un établissement pour personnes dépendantes (heberg_santé)"/>
    <hyperlink ref="D36" location="habitat_princ!A1" display="Dépenses de gros travaux et Intérêts d'emprunt et ravallement (habitat_princ)"/>
    <hyperlink ref="D37" location="codev!A1" display="Sommes versées sur un compte épargne codéveloppement (codev)"/>
    <hyperlink ref="D38" location="divers!A1" display="Autres réductions d'impôts (divers)"/>
    <hyperlink ref="D40" location="gardenf!A1" display="Frais de garde d'enfants (gardenf)"/>
    <hyperlink ref="D41" location="PPE!A1" display="Prime pour l'emploi (PPE)"/>
    <hyperlink ref="D42" location="plaf_nich!A1" display="Plafonnement global des niches (plaf_nich)"/>
    <hyperlink ref="D44" location="taxe_HR!A1" display="Taxe exceptionnelle sur les hauts revenus (taxe_HR)"/>
  </hyperlinks>
  <pageMargins left="0.7" right="0.7" top="0.75" bottom="0.75" header="0.3" footer="0.3"/>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pane xSplit="2" ySplit="2" topLeftCell="F3" activePane="bottomRight" state="frozen"/>
      <selection pane="topRight" activeCell="B1" sqref="B1"/>
      <selection pane="bottomLeft" activeCell="A2" sqref="A2"/>
      <selection pane="bottomRight" sqref="A1:XFD1"/>
    </sheetView>
  </sheetViews>
  <sheetFormatPr baseColWidth="10" defaultColWidth="9.140625" defaultRowHeight="30" customHeight="1" x14ac:dyDescent="0.25"/>
  <cols>
    <col min="1" max="2" width="15.7109375" style="72" customWidth="1"/>
    <col min="3" max="3" width="22.140625" customWidth="1"/>
    <col min="4" max="4" width="17" customWidth="1"/>
    <col min="5" max="5" width="28.7109375" customWidth="1"/>
    <col min="6" max="6" width="26.42578125" customWidth="1"/>
    <col min="7" max="7" width="21.42578125" customWidth="1"/>
    <col min="8" max="8" width="15.5703125" customWidth="1"/>
    <col min="9" max="9" width="19.42578125" customWidth="1"/>
    <col min="10" max="10" width="27.5703125" customWidth="1"/>
    <col min="11" max="11" width="17" customWidth="1"/>
    <col min="12" max="12" width="107.5703125" customWidth="1"/>
  </cols>
  <sheetData>
    <row r="1" spans="1:12" ht="30" hidden="1" customHeight="1" x14ac:dyDescent="0.25">
      <c r="A1" s="4" t="s">
        <v>221</v>
      </c>
      <c r="B1" s="4" t="s">
        <v>222</v>
      </c>
      <c r="C1" s="33" t="s">
        <v>87</v>
      </c>
      <c r="D1" s="60" t="s">
        <v>88</v>
      </c>
      <c r="E1" s="65" t="s">
        <v>128</v>
      </c>
      <c r="F1" s="65" t="s">
        <v>129</v>
      </c>
      <c r="G1" s="33" t="s">
        <v>182</v>
      </c>
      <c r="H1" s="33" t="s">
        <v>183</v>
      </c>
      <c r="I1" s="4" t="s">
        <v>3</v>
      </c>
      <c r="J1" s="4" t="s">
        <v>184</v>
      </c>
      <c r="K1" s="4" t="s">
        <v>4</v>
      </c>
      <c r="L1" s="5" t="s">
        <v>5</v>
      </c>
    </row>
    <row r="2" spans="1:12" ht="96.75" customHeight="1" x14ac:dyDescent="0.25">
      <c r="A2" s="4" t="s">
        <v>221</v>
      </c>
      <c r="B2" s="4" t="s">
        <v>222</v>
      </c>
      <c r="C2" s="285" t="s">
        <v>482</v>
      </c>
      <c r="D2" s="277" t="s">
        <v>487</v>
      </c>
      <c r="E2" s="286" t="s">
        <v>483</v>
      </c>
      <c r="F2" s="286" t="s">
        <v>484</v>
      </c>
      <c r="G2" s="285" t="s">
        <v>485</v>
      </c>
      <c r="H2" s="285" t="s">
        <v>486</v>
      </c>
      <c r="I2" s="4" t="s">
        <v>3</v>
      </c>
      <c r="J2" s="4" t="s">
        <v>184</v>
      </c>
      <c r="K2" s="4" t="s">
        <v>4</v>
      </c>
      <c r="L2" s="5" t="s">
        <v>5</v>
      </c>
    </row>
    <row r="3" spans="1:12" ht="30" customHeight="1" x14ac:dyDescent="0.25">
      <c r="A3" s="181">
        <v>2012</v>
      </c>
      <c r="B3" s="181">
        <v>2011</v>
      </c>
      <c r="C3" s="66">
        <v>0.19</v>
      </c>
      <c r="D3" s="128"/>
      <c r="E3" s="66">
        <v>0.41</v>
      </c>
      <c r="F3" s="66">
        <v>0.3</v>
      </c>
      <c r="G3" s="15">
        <v>152500</v>
      </c>
      <c r="H3" s="97">
        <v>0.22500000000000001</v>
      </c>
      <c r="I3" s="177"/>
      <c r="J3" s="177"/>
      <c r="K3" s="177"/>
      <c r="L3" s="306" t="s">
        <v>488</v>
      </c>
    </row>
    <row r="4" spans="1:12" ht="30" customHeight="1" x14ac:dyDescent="0.25">
      <c r="A4" s="82">
        <v>2011</v>
      </c>
      <c r="B4" s="82">
        <v>2010</v>
      </c>
      <c r="C4" s="66">
        <v>0.19</v>
      </c>
      <c r="D4" s="15">
        <v>25830</v>
      </c>
      <c r="E4" s="66">
        <v>0.41</v>
      </c>
      <c r="F4" s="66">
        <v>0.3</v>
      </c>
      <c r="G4" s="15">
        <v>152500</v>
      </c>
      <c r="H4" s="97">
        <v>0.22500000000000001</v>
      </c>
      <c r="L4" s="306"/>
    </row>
    <row r="5" spans="1:12" ht="30" customHeight="1" x14ac:dyDescent="0.25">
      <c r="A5" s="82">
        <v>2010</v>
      </c>
      <c r="B5" s="82">
        <v>2009</v>
      </c>
      <c r="C5" s="66">
        <v>0.18</v>
      </c>
      <c r="D5" s="15">
        <f>25730</f>
        <v>25730</v>
      </c>
      <c r="E5" s="66">
        <v>0.4</v>
      </c>
      <c r="F5" s="66">
        <v>0.3</v>
      </c>
      <c r="G5" s="15">
        <v>152500</v>
      </c>
      <c r="H5" s="97">
        <v>0.22500000000000001</v>
      </c>
      <c r="L5" s="306"/>
    </row>
    <row r="6" spans="1:12" ht="30" customHeight="1" x14ac:dyDescent="0.25">
      <c r="A6" s="82">
        <v>2009</v>
      </c>
      <c r="B6" s="82">
        <v>2008</v>
      </c>
      <c r="C6" s="66">
        <v>0.18</v>
      </c>
      <c r="D6" s="15">
        <v>25000</v>
      </c>
      <c r="E6" s="66">
        <v>0.4</v>
      </c>
      <c r="F6" s="66">
        <v>0.3</v>
      </c>
      <c r="G6" s="15">
        <v>152000</v>
      </c>
      <c r="H6" s="97">
        <v>0.22500000000000001</v>
      </c>
      <c r="I6" s="63" t="s">
        <v>89</v>
      </c>
      <c r="L6" s="262" t="s">
        <v>91</v>
      </c>
    </row>
    <row r="7" spans="1:12" ht="40.5" customHeight="1" x14ac:dyDescent="0.25">
      <c r="A7" s="82">
        <v>2008</v>
      </c>
      <c r="B7" s="82">
        <v>2007</v>
      </c>
      <c r="C7" s="66">
        <v>0.16</v>
      </c>
      <c r="D7" s="15">
        <v>20000</v>
      </c>
      <c r="E7" s="66">
        <v>0.4</v>
      </c>
      <c r="F7" s="66">
        <v>0.3</v>
      </c>
      <c r="G7" s="15">
        <v>152000</v>
      </c>
      <c r="H7" s="97">
        <v>0.22500000000000001</v>
      </c>
      <c r="I7" s="63" t="s">
        <v>90</v>
      </c>
      <c r="J7" s="213" t="s">
        <v>226</v>
      </c>
      <c r="K7" s="214">
        <v>39443</v>
      </c>
    </row>
    <row r="8" spans="1:12" ht="41.25" customHeight="1" x14ac:dyDescent="0.25">
      <c r="A8" s="82">
        <v>2007</v>
      </c>
      <c r="B8" s="82">
        <v>2006</v>
      </c>
      <c r="C8" s="66">
        <v>0.16</v>
      </c>
      <c r="D8" s="15">
        <v>15000</v>
      </c>
      <c r="E8" s="66">
        <v>0.4</v>
      </c>
      <c r="F8" s="66">
        <v>0.3</v>
      </c>
      <c r="G8" s="15">
        <v>152000</v>
      </c>
      <c r="H8" s="97">
        <v>0.22500000000000001</v>
      </c>
      <c r="I8" s="63" t="s">
        <v>92</v>
      </c>
      <c r="J8" s="213" t="s">
        <v>227</v>
      </c>
      <c r="K8" s="214">
        <v>39078</v>
      </c>
    </row>
    <row r="9" spans="1:12" ht="30" customHeight="1" x14ac:dyDescent="0.25">
      <c r="A9" s="82">
        <v>2006</v>
      </c>
      <c r="B9" s="82">
        <v>2005</v>
      </c>
      <c r="C9" s="66">
        <v>0.16</v>
      </c>
      <c r="D9" s="15">
        <v>15000</v>
      </c>
      <c r="E9" s="66">
        <v>0.4</v>
      </c>
      <c r="F9" s="66">
        <v>0.3</v>
      </c>
      <c r="G9" s="15">
        <v>152000</v>
      </c>
      <c r="H9" s="97">
        <v>0.22500000000000001</v>
      </c>
      <c r="L9" s="67"/>
    </row>
    <row r="10" spans="1:12" ht="30" customHeight="1" x14ac:dyDescent="0.25">
      <c r="A10" s="82">
        <v>2005</v>
      </c>
      <c r="B10" s="82">
        <v>2004</v>
      </c>
      <c r="C10" s="66">
        <v>0.16</v>
      </c>
      <c r="D10" s="15">
        <v>15000</v>
      </c>
      <c r="E10" s="66">
        <v>0.4</v>
      </c>
      <c r="F10" s="66">
        <v>0.3</v>
      </c>
      <c r="G10" s="15">
        <v>152000</v>
      </c>
      <c r="H10" s="97">
        <v>0.22500000000000001</v>
      </c>
    </row>
    <row r="11" spans="1:12" ht="30" customHeight="1" x14ac:dyDescent="0.25">
      <c r="A11" s="82">
        <v>2004</v>
      </c>
      <c r="B11" s="82">
        <v>2003</v>
      </c>
      <c r="C11" s="66">
        <v>0.16</v>
      </c>
      <c r="D11" s="15">
        <v>15000</v>
      </c>
      <c r="E11" s="66">
        <v>0.4</v>
      </c>
      <c r="F11" s="66">
        <v>0.3</v>
      </c>
      <c r="G11" s="15">
        <v>152000</v>
      </c>
      <c r="H11" s="97">
        <v>0.22500000000000001</v>
      </c>
    </row>
    <row r="12" spans="1:12" ht="30" customHeight="1" x14ac:dyDescent="0.25">
      <c r="A12" s="82">
        <v>2003</v>
      </c>
      <c r="B12" s="82">
        <v>2002</v>
      </c>
      <c r="C12" s="66">
        <v>0.16</v>
      </c>
      <c r="D12" s="15">
        <v>15000</v>
      </c>
      <c r="E12" s="66">
        <v>0.4</v>
      </c>
      <c r="F12" s="66">
        <v>0.3</v>
      </c>
      <c r="G12" s="15">
        <v>152000</v>
      </c>
      <c r="H12" s="97">
        <v>0.22500000000000001</v>
      </c>
      <c r="I12" s="63" t="s">
        <v>93</v>
      </c>
      <c r="J12" s="213" t="s">
        <v>229</v>
      </c>
      <c r="K12" s="214">
        <v>38352</v>
      </c>
    </row>
    <row r="13" spans="1:12" ht="30" customHeight="1" x14ac:dyDescent="0.25">
      <c r="A13" s="82">
        <v>2002</v>
      </c>
      <c r="B13" s="82">
        <v>2001</v>
      </c>
      <c r="C13" s="66">
        <v>0.16</v>
      </c>
      <c r="D13" s="15">
        <v>7650</v>
      </c>
      <c r="E13" s="66">
        <v>0.4</v>
      </c>
      <c r="F13" s="66">
        <v>0.3</v>
      </c>
      <c r="G13" s="15">
        <v>152000</v>
      </c>
      <c r="H13" s="97">
        <v>0.22500000000000001</v>
      </c>
    </row>
    <row r="14" spans="1:12" ht="30" customHeight="1" x14ac:dyDescent="0.25">
      <c r="A14" s="82">
        <v>2001</v>
      </c>
      <c r="B14" s="82">
        <v>2000</v>
      </c>
      <c r="C14" s="66">
        <v>0.16</v>
      </c>
      <c r="D14" s="19">
        <v>50000</v>
      </c>
      <c r="E14" s="98">
        <v>0.4</v>
      </c>
      <c r="F14" s="66">
        <v>0.3</v>
      </c>
      <c r="G14" s="19">
        <v>1000000</v>
      </c>
      <c r="H14" s="97">
        <v>0.22500000000000001</v>
      </c>
      <c r="L14" t="s">
        <v>489</v>
      </c>
    </row>
    <row r="15" spans="1:12" ht="30" customHeight="1" x14ac:dyDescent="0.25">
      <c r="A15" s="82">
        <v>2000</v>
      </c>
      <c r="B15" s="82">
        <v>1999</v>
      </c>
      <c r="C15" s="66">
        <v>0.16</v>
      </c>
      <c r="D15" s="19">
        <v>50000</v>
      </c>
      <c r="E15" s="132"/>
      <c r="F15" s="66">
        <v>0.3</v>
      </c>
      <c r="G15" s="134"/>
      <c r="H15" s="97">
        <v>0.22500000000000001</v>
      </c>
    </row>
    <row r="16" spans="1:12" ht="30" customHeight="1" x14ac:dyDescent="0.25">
      <c r="A16" s="82">
        <v>1999</v>
      </c>
      <c r="B16" s="82">
        <v>1998</v>
      </c>
      <c r="C16" s="66">
        <v>0.16</v>
      </c>
      <c r="D16" s="19">
        <v>50000</v>
      </c>
      <c r="E16" s="132"/>
      <c r="F16" s="66">
        <v>0.3</v>
      </c>
      <c r="G16" s="134"/>
      <c r="H16" s="97">
        <v>0.22500000000000001</v>
      </c>
    </row>
    <row r="17" spans="1:12" ht="30" customHeight="1" x14ac:dyDescent="0.25">
      <c r="A17" s="82">
        <v>1998</v>
      </c>
      <c r="B17" s="82">
        <v>1997</v>
      </c>
      <c r="C17" s="66">
        <v>0.16</v>
      </c>
      <c r="D17" s="19">
        <v>100000</v>
      </c>
      <c r="E17" s="132"/>
      <c r="F17" s="66">
        <v>0.3</v>
      </c>
      <c r="G17" s="134"/>
      <c r="H17" s="97">
        <v>0.22500000000000001</v>
      </c>
      <c r="J17" s="213" t="s">
        <v>236</v>
      </c>
      <c r="K17" s="214">
        <v>35795</v>
      </c>
    </row>
    <row r="18" spans="1:12" ht="30" customHeight="1" x14ac:dyDescent="0.25">
      <c r="A18" s="82">
        <v>1997</v>
      </c>
      <c r="B18" s="82">
        <v>1996</v>
      </c>
      <c r="C18" s="66">
        <v>0.16</v>
      </c>
      <c r="D18" s="19">
        <v>200000</v>
      </c>
      <c r="E18" s="132"/>
      <c r="F18" s="66">
        <v>0.3</v>
      </c>
      <c r="G18" s="134"/>
      <c r="H18" s="97">
        <v>0.22500000000000001</v>
      </c>
    </row>
    <row r="19" spans="1:12" ht="30" customHeight="1" x14ac:dyDescent="0.25">
      <c r="A19" s="82">
        <v>1996</v>
      </c>
      <c r="B19" s="82">
        <v>1995</v>
      </c>
      <c r="C19" s="66">
        <v>0.16</v>
      </c>
      <c r="D19" s="19">
        <v>50000</v>
      </c>
      <c r="E19" s="132"/>
      <c r="F19" s="66">
        <v>0.3</v>
      </c>
      <c r="G19" s="134"/>
      <c r="H19" s="97">
        <v>0.22500000000000001</v>
      </c>
      <c r="J19" s="218" t="s">
        <v>238</v>
      </c>
      <c r="K19" s="222">
        <v>35064</v>
      </c>
      <c r="L19" t="s">
        <v>490</v>
      </c>
    </row>
    <row r="20" spans="1:12" ht="30" customHeight="1" x14ac:dyDescent="0.25">
      <c r="A20" s="82">
        <v>1995</v>
      </c>
      <c r="B20" s="82">
        <v>1994</v>
      </c>
      <c r="C20" s="66">
        <v>0.16</v>
      </c>
      <c r="D20" s="19">
        <v>100000</v>
      </c>
      <c r="E20" s="132"/>
      <c r="F20" s="132"/>
      <c r="G20" s="134"/>
      <c r="H20" s="97">
        <v>0.22500000000000001</v>
      </c>
      <c r="J20" s="35"/>
    </row>
    <row r="21" spans="1:12" ht="30" customHeight="1" x14ac:dyDescent="0.25">
      <c r="A21" s="82">
        <v>1994</v>
      </c>
      <c r="B21" s="82">
        <v>1993</v>
      </c>
      <c r="C21" s="66">
        <v>0.16</v>
      </c>
      <c r="D21" s="19">
        <v>150000</v>
      </c>
      <c r="E21" s="132"/>
      <c r="F21" s="132"/>
      <c r="G21" s="134"/>
      <c r="H21" s="97">
        <v>0.22500000000000001</v>
      </c>
    </row>
    <row r="22" spans="1:12" ht="30" customHeight="1" x14ac:dyDescent="0.25">
      <c r="A22" s="82">
        <v>1993</v>
      </c>
      <c r="B22" s="82">
        <v>1992</v>
      </c>
      <c r="E22" s="14"/>
    </row>
    <row r="23" spans="1:12" ht="30" customHeight="1" x14ac:dyDescent="0.25">
      <c r="A23" s="82">
        <v>1992</v>
      </c>
      <c r="B23" s="82">
        <v>1991</v>
      </c>
      <c r="C23" s="14"/>
      <c r="D23" s="14"/>
      <c r="E23" s="14"/>
    </row>
    <row r="24" spans="1:12" ht="30" customHeight="1" x14ac:dyDescent="0.25">
      <c r="A24" s="82">
        <v>1991</v>
      </c>
      <c r="B24" s="82">
        <v>1990</v>
      </c>
      <c r="C24" s="14"/>
      <c r="D24" s="14"/>
    </row>
    <row r="25" spans="1:12" ht="30" customHeight="1" x14ac:dyDescent="0.25">
      <c r="A25" s="82">
        <v>1990</v>
      </c>
      <c r="B25" s="82">
        <v>1989</v>
      </c>
    </row>
    <row r="26" spans="1:12" ht="30" customHeight="1" x14ac:dyDescent="0.25">
      <c r="A26" s="82">
        <v>1989</v>
      </c>
      <c r="B26" s="82">
        <v>1988</v>
      </c>
    </row>
    <row r="27" spans="1:12" ht="30" customHeight="1" x14ac:dyDescent="0.25">
      <c r="A27" s="82">
        <v>1988</v>
      </c>
      <c r="B27" s="82">
        <v>1987</v>
      </c>
    </row>
    <row r="28" spans="1:12" ht="30" customHeight="1" x14ac:dyDescent="0.25">
      <c r="A28" s="82">
        <v>1987</v>
      </c>
      <c r="B28" s="82">
        <v>1986</v>
      </c>
    </row>
    <row r="29" spans="1:12" ht="30" customHeight="1" x14ac:dyDescent="0.25">
      <c r="A29" s="82">
        <v>1986</v>
      </c>
      <c r="B29" s="82">
        <v>1985</v>
      </c>
    </row>
    <row r="30" spans="1:12" ht="30" customHeight="1" x14ac:dyDescent="0.25">
      <c r="A30" s="82">
        <v>1985</v>
      </c>
      <c r="B30" s="82">
        <v>1984</v>
      </c>
    </row>
    <row r="31" spans="1:12" ht="30" customHeight="1" x14ac:dyDescent="0.25">
      <c r="A31" s="82">
        <v>1984</v>
      </c>
      <c r="B31" s="82">
        <v>1983</v>
      </c>
    </row>
    <row r="32" spans="1:12" ht="30" customHeight="1" x14ac:dyDescent="0.25">
      <c r="A32" s="82">
        <v>1983</v>
      </c>
      <c r="B32" s="82">
        <v>1982</v>
      </c>
    </row>
    <row r="33" spans="1:2" ht="30" customHeight="1" x14ac:dyDescent="0.25">
      <c r="A33" s="82">
        <v>1982</v>
      </c>
      <c r="B33" s="82">
        <v>1981</v>
      </c>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row r="92" spans="1:2" ht="30" customHeight="1" x14ac:dyDescent="0.25">
      <c r="A92" s="147"/>
      <c r="B92" s="147"/>
    </row>
  </sheetData>
  <mergeCells count="1">
    <mergeCell ref="L3:L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pane xSplit="2" ySplit="2" topLeftCell="C3" activePane="bottomRight" state="frozen"/>
      <selection pane="topRight" activeCell="B1" sqref="B1"/>
      <selection pane="bottomLeft" activeCell="A2" sqref="A2"/>
      <selection pane="bottomRight" activeCell="L3" sqref="L3"/>
    </sheetView>
  </sheetViews>
  <sheetFormatPr baseColWidth="10" defaultColWidth="15.7109375" defaultRowHeight="30" customHeight="1" x14ac:dyDescent="0.25"/>
  <cols>
    <col min="1" max="2" width="15.7109375" style="72" customWidth="1"/>
    <col min="3" max="3" width="17" style="35" customWidth="1"/>
    <col min="4" max="4" width="21.5703125" style="35" customWidth="1"/>
    <col min="5" max="5" width="19.5703125" style="35" customWidth="1"/>
    <col min="6" max="6" width="23.5703125" style="35" customWidth="1"/>
    <col min="7" max="7" width="17.5703125" style="35" customWidth="1"/>
    <col min="8" max="8" width="17.42578125" style="35" customWidth="1"/>
    <col min="9" max="9" width="23" style="35" customWidth="1"/>
    <col min="10" max="10" width="42.85546875" style="35" customWidth="1"/>
    <col min="11" max="11" width="15.140625" style="35" customWidth="1"/>
    <col min="12" max="12" width="100.140625" style="35" customWidth="1"/>
    <col min="13" max="16384" width="15.7109375" style="35"/>
  </cols>
  <sheetData>
    <row r="1" spans="1:12" ht="30" hidden="1" customHeight="1" x14ac:dyDescent="0.25">
      <c r="A1" s="4" t="s">
        <v>221</v>
      </c>
      <c r="B1" s="4" t="s">
        <v>222</v>
      </c>
      <c r="C1" s="28" t="s">
        <v>175</v>
      </c>
      <c r="D1" s="28" t="s">
        <v>71</v>
      </c>
      <c r="E1" s="28" t="s">
        <v>176</v>
      </c>
      <c r="F1" s="28" t="s">
        <v>177</v>
      </c>
      <c r="G1" s="28" t="s">
        <v>282</v>
      </c>
      <c r="H1" s="28" t="s">
        <v>283</v>
      </c>
      <c r="I1" s="28" t="s">
        <v>287</v>
      </c>
      <c r="J1" s="4" t="s">
        <v>179</v>
      </c>
      <c r="K1" s="4" t="s">
        <v>4</v>
      </c>
      <c r="L1" s="5" t="s">
        <v>5</v>
      </c>
    </row>
    <row r="2" spans="1:12" ht="64.5" customHeight="1" x14ac:dyDescent="0.25">
      <c r="A2" s="4" t="s">
        <v>221</v>
      </c>
      <c r="B2" s="4" t="s">
        <v>222</v>
      </c>
      <c r="C2" s="265" t="s">
        <v>493</v>
      </c>
      <c r="D2" s="265" t="s">
        <v>492</v>
      </c>
      <c r="E2" s="265" t="s">
        <v>494</v>
      </c>
      <c r="F2" s="265" t="s">
        <v>495</v>
      </c>
      <c r="G2" s="265" t="s">
        <v>496</v>
      </c>
      <c r="H2" s="265" t="s">
        <v>497</v>
      </c>
      <c r="I2" s="265" t="s">
        <v>498</v>
      </c>
      <c r="J2" s="4" t="s">
        <v>179</v>
      </c>
      <c r="K2" s="4" t="s">
        <v>4</v>
      </c>
      <c r="L2" s="5" t="s">
        <v>5</v>
      </c>
    </row>
    <row r="3" spans="1:12" s="72" customFormat="1" ht="30" customHeight="1" x14ac:dyDescent="0.25">
      <c r="A3" s="82">
        <v>2011</v>
      </c>
      <c r="B3" s="82">
        <v>2010</v>
      </c>
      <c r="C3" s="66">
        <f t="shared" ref="C3:C8" si="0">75/100</f>
        <v>0.75</v>
      </c>
      <c r="D3" s="15">
        <f>513</f>
        <v>513</v>
      </c>
      <c r="E3" s="66">
        <f t="shared" ref="E3:E8" si="1">66/100</f>
        <v>0.66</v>
      </c>
      <c r="F3" s="66">
        <f t="shared" ref="F3:F11" si="2">20/100</f>
        <v>0.2</v>
      </c>
      <c r="G3" s="66">
        <f t="shared" ref="G3:G8" si="3">F3</f>
        <v>0.2</v>
      </c>
      <c r="H3" s="66">
        <f t="shared" ref="H3:H9" si="4">E3</f>
        <v>0.66</v>
      </c>
      <c r="I3" s="66">
        <f t="shared" ref="I3:I9" si="5">F3</f>
        <v>0.2</v>
      </c>
      <c r="J3" s="2" t="s">
        <v>178</v>
      </c>
      <c r="K3" s="52">
        <v>40705</v>
      </c>
      <c r="L3" s="91" t="s">
        <v>491</v>
      </c>
    </row>
    <row r="4" spans="1:12" s="72" customFormat="1" ht="30" customHeight="1" x14ac:dyDescent="0.25">
      <c r="A4" s="82">
        <v>2010</v>
      </c>
      <c r="B4" s="82">
        <v>2009</v>
      </c>
      <c r="C4" s="66">
        <f t="shared" si="0"/>
        <v>0.75</v>
      </c>
      <c r="D4" s="69">
        <f>510</f>
        <v>510</v>
      </c>
      <c r="E4" s="66">
        <f t="shared" si="1"/>
        <v>0.66</v>
      </c>
      <c r="F4" s="66">
        <f t="shared" si="2"/>
        <v>0.2</v>
      </c>
      <c r="G4" s="66">
        <f t="shared" si="3"/>
        <v>0.2</v>
      </c>
      <c r="H4" s="66">
        <f t="shared" si="4"/>
        <v>0.66</v>
      </c>
      <c r="I4" s="66">
        <f t="shared" si="5"/>
        <v>0.2</v>
      </c>
      <c r="J4" s="2" t="s">
        <v>180</v>
      </c>
      <c r="K4" s="52">
        <v>40298</v>
      </c>
      <c r="L4" s="96"/>
    </row>
    <row r="5" spans="1:12" s="72" customFormat="1" ht="30" customHeight="1" thickBot="1" x14ac:dyDescent="0.3">
      <c r="A5" s="82">
        <v>2009</v>
      </c>
      <c r="B5" s="82">
        <v>2008</v>
      </c>
      <c r="C5" s="66">
        <f t="shared" si="0"/>
        <v>0.75</v>
      </c>
      <c r="D5" s="15">
        <v>495</v>
      </c>
      <c r="E5" s="66">
        <f t="shared" si="1"/>
        <v>0.66</v>
      </c>
      <c r="F5" s="66">
        <f t="shared" si="2"/>
        <v>0.2</v>
      </c>
      <c r="G5" s="66">
        <f t="shared" si="3"/>
        <v>0.2</v>
      </c>
      <c r="H5" s="66">
        <f t="shared" si="4"/>
        <v>0.66</v>
      </c>
      <c r="I5" s="66">
        <f t="shared" si="5"/>
        <v>0.2</v>
      </c>
      <c r="J5" s="2" t="s">
        <v>181</v>
      </c>
      <c r="K5" s="52">
        <v>39912</v>
      </c>
      <c r="L5" s="61"/>
    </row>
    <row r="6" spans="1:12" s="72" customFormat="1" ht="30" customHeight="1" x14ac:dyDescent="0.25">
      <c r="A6" s="82">
        <v>2008</v>
      </c>
      <c r="B6" s="82">
        <v>2007</v>
      </c>
      <c r="C6" s="66">
        <f t="shared" si="0"/>
        <v>0.75</v>
      </c>
      <c r="D6" s="15">
        <v>488</v>
      </c>
      <c r="E6" s="66">
        <f t="shared" si="1"/>
        <v>0.66</v>
      </c>
      <c r="F6" s="66">
        <f t="shared" si="2"/>
        <v>0.2</v>
      </c>
      <c r="G6" s="66">
        <f t="shared" si="3"/>
        <v>0.2</v>
      </c>
      <c r="H6" s="66">
        <f t="shared" si="4"/>
        <v>0.66</v>
      </c>
      <c r="I6" s="66">
        <f t="shared" si="5"/>
        <v>0.2</v>
      </c>
      <c r="J6" s="2" t="s">
        <v>171</v>
      </c>
      <c r="K6" s="52">
        <v>39540</v>
      </c>
      <c r="L6" s="307" t="s">
        <v>294</v>
      </c>
    </row>
    <row r="7" spans="1:12" s="72" customFormat="1" ht="30" customHeight="1" x14ac:dyDescent="0.25">
      <c r="A7" s="82">
        <v>2007</v>
      </c>
      <c r="B7" s="82">
        <v>2006</v>
      </c>
      <c r="C7" s="66">
        <f t="shared" si="0"/>
        <v>0.75</v>
      </c>
      <c r="D7" s="15">
        <v>479</v>
      </c>
      <c r="E7" s="66">
        <f t="shared" si="1"/>
        <v>0.66</v>
      </c>
      <c r="F7" s="66">
        <f t="shared" si="2"/>
        <v>0.2</v>
      </c>
      <c r="G7" s="66">
        <f t="shared" si="3"/>
        <v>0.2</v>
      </c>
      <c r="H7" s="66">
        <f t="shared" si="4"/>
        <v>0.66</v>
      </c>
      <c r="I7" s="66">
        <f t="shared" si="5"/>
        <v>0.2</v>
      </c>
      <c r="J7" s="94"/>
      <c r="K7" s="52"/>
      <c r="L7" s="308"/>
    </row>
    <row r="8" spans="1:12" s="72" customFormat="1" ht="30" customHeight="1" x14ac:dyDescent="0.25">
      <c r="A8" s="82">
        <v>2006</v>
      </c>
      <c r="B8" s="82">
        <v>2005</v>
      </c>
      <c r="C8" s="66">
        <f t="shared" si="0"/>
        <v>0.75</v>
      </c>
      <c r="D8" s="15">
        <v>470</v>
      </c>
      <c r="E8" s="66">
        <f t="shared" si="1"/>
        <v>0.66</v>
      </c>
      <c r="F8" s="66">
        <f t="shared" si="2"/>
        <v>0.2</v>
      </c>
      <c r="G8" s="66">
        <f t="shared" si="3"/>
        <v>0.2</v>
      </c>
      <c r="H8" s="66">
        <f t="shared" si="4"/>
        <v>0.66</v>
      </c>
      <c r="I8" s="66">
        <f t="shared" si="5"/>
        <v>0.2</v>
      </c>
      <c r="J8" s="83" t="s">
        <v>185</v>
      </c>
      <c r="K8" s="52"/>
      <c r="L8" s="308"/>
    </row>
    <row r="9" spans="1:12" s="72" customFormat="1" ht="30" customHeight="1" thickBot="1" x14ac:dyDescent="0.3">
      <c r="A9" s="82">
        <v>2005</v>
      </c>
      <c r="B9" s="82">
        <v>2004</v>
      </c>
      <c r="C9" s="66">
        <f>66%</f>
        <v>0.66</v>
      </c>
      <c r="D9" s="15">
        <f>422</f>
        <v>422</v>
      </c>
      <c r="E9" s="66">
        <v>0.6</v>
      </c>
      <c r="F9" s="66">
        <f t="shared" si="2"/>
        <v>0.2</v>
      </c>
      <c r="G9" s="66">
        <f>F9</f>
        <v>0.2</v>
      </c>
      <c r="H9" s="66">
        <f t="shared" si="4"/>
        <v>0.6</v>
      </c>
      <c r="I9" s="66">
        <f t="shared" si="5"/>
        <v>0.2</v>
      </c>
      <c r="J9" s="88"/>
      <c r="K9" s="52"/>
      <c r="L9" s="309"/>
    </row>
    <row r="10" spans="1:12" s="72" customFormat="1" ht="30" customHeight="1" x14ac:dyDescent="0.25">
      <c r="A10" s="82">
        <v>2004</v>
      </c>
      <c r="B10" s="82">
        <v>2003</v>
      </c>
      <c r="C10" s="66">
        <f>66%</f>
        <v>0.66</v>
      </c>
      <c r="D10" s="15">
        <v>414</v>
      </c>
      <c r="E10" s="66">
        <v>0.6</v>
      </c>
      <c r="F10" s="66">
        <f t="shared" si="2"/>
        <v>0.2</v>
      </c>
      <c r="G10" s="66">
        <f>F10</f>
        <v>0.2</v>
      </c>
      <c r="H10" s="66">
        <f>E10</f>
        <v>0.6</v>
      </c>
      <c r="I10" s="66">
        <f>F10</f>
        <v>0.2</v>
      </c>
      <c r="J10" s="102" t="s">
        <v>187</v>
      </c>
      <c r="K10" s="52"/>
      <c r="L10" s="95"/>
    </row>
    <row r="11" spans="1:12" s="72" customFormat="1" ht="30" customHeight="1" x14ac:dyDescent="0.25">
      <c r="A11" s="82">
        <v>2003</v>
      </c>
      <c r="B11" s="82">
        <v>2002</v>
      </c>
      <c r="C11" s="66">
        <v>0.6</v>
      </c>
      <c r="D11" s="15">
        <v>407</v>
      </c>
      <c r="E11" s="66">
        <v>0.6</v>
      </c>
      <c r="F11" s="66">
        <f t="shared" si="2"/>
        <v>0.2</v>
      </c>
      <c r="G11" s="66">
        <f>F11</f>
        <v>0.2</v>
      </c>
      <c r="H11" s="66">
        <f>E11</f>
        <v>0.6</v>
      </c>
      <c r="I11" s="66">
        <f>F11</f>
        <v>0.2</v>
      </c>
      <c r="J11" s="2" t="s">
        <v>186</v>
      </c>
      <c r="K11" s="52">
        <v>37835</v>
      </c>
      <c r="L11" s="61"/>
    </row>
    <row r="12" spans="1:12" s="72" customFormat="1" ht="30" customHeight="1" x14ac:dyDescent="0.25">
      <c r="A12" s="82">
        <v>2002</v>
      </c>
      <c r="B12" s="82">
        <v>2001</v>
      </c>
      <c r="C12" s="66">
        <v>0.6</v>
      </c>
      <c r="D12" s="15">
        <v>400</v>
      </c>
      <c r="E12" s="103">
        <f t="shared" ref="E12:E16" si="6">50/100</f>
        <v>0.5</v>
      </c>
      <c r="F12" s="103">
        <f>10/100</f>
        <v>0.1</v>
      </c>
      <c r="G12" s="103">
        <v>0.1</v>
      </c>
      <c r="H12" s="103">
        <v>0.5</v>
      </c>
      <c r="I12" s="103">
        <v>0.1</v>
      </c>
      <c r="J12" s="88"/>
      <c r="K12" s="52"/>
      <c r="L12" s="61"/>
    </row>
    <row r="13" spans="1:12" s="73" customFormat="1" ht="30" customHeight="1" x14ac:dyDescent="0.25">
      <c r="A13" s="82">
        <v>2001</v>
      </c>
      <c r="B13" s="82">
        <v>2000</v>
      </c>
      <c r="C13" s="66">
        <f>60/100</f>
        <v>0.6</v>
      </c>
      <c r="D13" s="19">
        <f>2100</f>
        <v>2100</v>
      </c>
      <c r="E13" s="103">
        <f t="shared" si="6"/>
        <v>0.5</v>
      </c>
      <c r="F13" s="103">
        <f>6%</f>
        <v>0.06</v>
      </c>
      <c r="G13" s="103">
        <v>0.06</v>
      </c>
      <c r="H13" s="103">
        <v>0.5</v>
      </c>
      <c r="I13" s="103">
        <v>0.06</v>
      </c>
      <c r="J13" s="83"/>
      <c r="K13" s="52"/>
      <c r="L13" s="36"/>
    </row>
    <row r="14" spans="1:12" s="73" customFormat="1" ht="30" customHeight="1" x14ac:dyDescent="0.25">
      <c r="A14" s="82">
        <v>2000</v>
      </c>
      <c r="B14" s="82">
        <v>1999</v>
      </c>
      <c r="C14" s="66">
        <f>60/100</f>
        <v>0.6</v>
      </c>
      <c r="D14" s="19">
        <f>2070</f>
        <v>2070</v>
      </c>
      <c r="E14" s="103">
        <f t="shared" si="6"/>
        <v>0.5</v>
      </c>
      <c r="F14" s="103">
        <f>6%</f>
        <v>0.06</v>
      </c>
      <c r="G14" s="103">
        <v>0.06</v>
      </c>
      <c r="H14" s="103">
        <v>0.5</v>
      </c>
      <c r="I14" s="103">
        <v>0.06</v>
      </c>
      <c r="J14" s="63"/>
      <c r="K14" s="52"/>
      <c r="L14" s="70"/>
    </row>
    <row r="15" spans="1:12" s="73" customFormat="1" ht="30" customHeight="1" x14ac:dyDescent="0.25">
      <c r="A15" s="82">
        <v>1999</v>
      </c>
      <c r="B15" s="82">
        <v>1998</v>
      </c>
      <c r="C15" s="66">
        <f>60/100</f>
        <v>0.6</v>
      </c>
      <c r="D15" s="19">
        <f>2050</f>
        <v>2050</v>
      </c>
      <c r="E15" s="103">
        <f t="shared" si="6"/>
        <v>0.5</v>
      </c>
      <c r="F15" s="103">
        <f>6%</f>
        <v>0.06</v>
      </c>
      <c r="G15" s="168">
        <v>1.7500000000000002E-2</v>
      </c>
      <c r="H15" s="103">
        <v>0.4</v>
      </c>
      <c r="I15" s="103">
        <v>0.05</v>
      </c>
      <c r="J15" s="63"/>
      <c r="K15" s="52"/>
      <c r="L15" s="80"/>
    </row>
    <row r="16" spans="1:12" s="73" customFormat="1" ht="30" customHeight="1" x14ac:dyDescent="0.25">
      <c r="A16" s="82">
        <v>1998</v>
      </c>
      <c r="B16" s="82">
        <v>1997</v>
      </c>
      <c r="C16" s="66">
        <f>60%</f>
        <v>0.6</v>
      </c>
      <c r="D16" s="19">
        <v>2030</v>
      </c>
      <c r="E16" s="103">
        <f t="shared" si="6"/>
        <v>0.5</v>
      </c>
      <c r="F16" s="103">
        <f>6%</f>
        <v>0.06</v>
      </c>
      <c r="G16" s="168">
        <v>1.7500000000000002E-2</v>
      </c>
      <c r="H16" s="103">
        <v>0.4</v>
      </c>
      <c r="I16" s="103">
        <v>0.05</v>
      </c>
      <c r="J16" s="63"/>
      <c r="K16" s="52"/>
      <c r="L16" s="80"/>
    </row>
    <row r="17" spans="1:12" s="73" customFormat="1" ht="30" customHeight="1" x14ac:dyDescent="0.25">
      <c r="A17" s="82">
        <v>1997</v>
      </c>
      <c r="B17" s="82">
        <v>1996</v>
      </c>
      <c r="C17" s="66">
        <f>60%</f>
        <v>0.6</v>
      </c>
      <c r="D17" s="19">
        <f>2000</f>
        <v>2000</v>
      </c>
      <c r="E17" s="66">
        <f>0.5</f>
        <v>0.5</v>
      </c>
      <c r="F17" s="103">
        <f>6%</f>
        <v>0.06</v>
      </c>
      <c r="G17" s="168">
        <v>1.7500000000000002E-2</v>
      </c>
      <c r="H17" s="66">
        <v>0.4</v>
      </c>
      <c r="I17" s="66">
        <v>0.05</v>
      </c>
      <c r="J17" s="68"/>
      <c r="K17" s="52"/>
      <c r="L17" s="70"/>
    </row>
    <row r="18" spans="1:12" s="73" customFormat="1" ht="30" customHeight="1" x14ac:dyDescent="0.25">
      <c r="A18" s="82">
        <v>1996</v>
      </c>
      <c r="B18" s="82">
        <v>1995</v>
      </c>
      <c r="C18" s="66">
        <f>50%</f>
        <v>0.5</v>
      </c>
      <c r="D18" s="19">
        <f>1040</f>
        <v>1040</v>
      </c>
      <c r="E18" s="66">
        <f>40%</f>
        <v>0.4</v>
      </c>
      <c r="F18" s="103">
        <v>0.05</v>
      </c>
      <c r="G18" s="168">
        <v>1.2500000000000001E-2</v>
      </c>
      <c r="H18" s="132"/>
      <c r="I18" s="132"/>
      <c r="J18" s="68"/>
      <c r="K18" s="81"/>
      <c r="L18" s="70"/>
    </row>
    <row r="19" spans="1:12" s="73" customFormat="1" ht="30" customHeight="1" x14ac:dyDescent="0.25">
      <c r="A19" s="82">
        <v>1995</v>
      </c>
      <c r="B19" s="82">
        <v>1994</v>
      </c>
      <c r="C19" s="66">
        <f>0.5</f>
        <v>0.5</v>
      </c>
      <c r="D19" s="19">
        <f>1020</f>
        <v>1020</v>
      </c>
      <c r="E19" s="66">
        <f>40%</f>
        <v>0.4</v>
      </c>
      <c r="F19" s="103">
        <v>0.05</v>
      </c>
      <c r="H19" s="132"/>
      <c r="I19" s="132"/>
      <c r="J19" s="68"/>
      <c r="K19" s="81"/>
      <c r="L19" s="70"/>
    </row>
    <row r="20" spans="1:12" ht="30" customHeight="1" x14ac:dyDescent="0.25">
      <c r="A20" s="82">
        <v>1994</v>
      </c>
      <c r="B20" s="82">
        <v>1993</v>
      </c>
      <c r="C20" s="36"/>
      <c r="D20" s="36"/>
      <c r="E20" s="36"/>
      <c r="F20" s="36"/>
      <c r="G20" s="36"/>
      <c r="H20" s="36"/>
      <c r="I20" s="36"/>
      <c r="J20" s="71"/>
      <c r="K20" s="62"/>
      <c r="L20" s="70"/>
    </row>
    <row r="21" spans="1:12" ht="30" customHeight="1" x14ac:dyDescent="0.25">
      <c r="A21" s="82">
        <v>1993</v>
      </c>
      <c r="B21" s="82">
        <v>1992</v>
      </c>
      <c r="C21" s="36"/>
      <c r="D21" s="36"/>
      <c r="E21" s="36"/>
      <c r="F21" s="36"/>
      <c r="G21" s="36"/>
      <c r="H21" s="36"/>
      <c r="I21" s="36"/>
      <c r="J21" s="71"/>
      <c r="K21" s="62"/>
      <c r="L21" s="70"/>
    </row>
    <row r="22" spans="1:12" ht="30" customHeight="1" x14ac:dyDescent="0.25">
      <c r="A22" s="82">
        <v>1992</v>
      </c>
      <c r="B22" s="82">
        <v>1991</v>
      </c>
      <c r="C22" s="36"/>
      <c r="D22" s="36"/>
      <c r="E22" s="36"/>
      <c r="F22" s="36"/>
      <c r="G22" s="36"/>
      <c r="H22" s="36"/>
      <c r="I22" s="36"/>
      <c r="J22" s="36"/>
      <c r="K22" s="36"/>
      <c r="L22" s="36"/>
    </row>
    <row r="23" spans="1:12" ht="30" customHeight="1" x14ac:dyDescent="0.25">
      <c r="A23" s="82">
        <v>1991</v>
      </c>
      <c r="B23" s="82">
        <v>1990</v>
      </c>
      <c r="C23" s="36"/>
      <c r="D23" s="36"/>
      <c r="E23" s="36"/>
      <c r="F23" s="36"/>
      <c r="G23" s="36"/>
      <c r="H23" s="36"/>
      <c r="I23" s="36"/>
      <c r="J23" s="36"/>
      <c r="K23" s="36"/>
      <c r="L23" s="36"/>
    </row>
    <row r="24" spans="1:12" ht="30" customHeight="1" x14ac:dyDescent="0.25">
      <c r="A24" s="82">
        <v>1990</v>
      </c>
      <c r="B24" s="82">
        <v>1989</v>
      </c>
      <c r="C24" s="36"/>
      <c r="D24" s="36"/>
      <c r="E24" s="36"/>
      <c r="F24" s="36"/>
      <c r="G24" s="36"/>
      <c r="H24" s="36"/>
      <c r="I24" s="36"/>
      <c r="J24" s="36"/>
      <c r="K24" s="36"/>
      <c r="L24" s="36"/>
    </row>
    <row r="25" spans="1:12" ht="30" customHeight="1" x14ac:dyDescent="0.25">
      <c r="A25" s="82">
        <v>1989</v>
      </c>
      <c r="B25" s="82">
        <v>1988</v>
      </c>
      <c r="C25" s="36"/>
      <c r="D25" s="36"/>
      <c r="E25" s="36"/>
      <c r="F25" s="36"/>
      <c r="G25" s="36"/>
      <c r="H25" s="36"/>
      <c r="I25" s="36"/>
      <c r="J25" s="36"/>
      <c r="K25" s="36"/>
      <c r="L25" s="36"/>
    </row>
    <row r="26" spans="1:12" ht="30" customHeight="1" x14ac:dyDescent="0.25">
      <c r="A26" s="82">
        <v>1988</v>
      </c>
      <c r="B26" s="82">
        <v>1987</v>
      </c>
      <c r="C26" s="36"/>
      <c r="D26" s="36"/>
      <c r="E26" s="36"/>
      <c r="F26" s="36"/>
      <c r="G26" s="36"/>
      <c r="H26" s="36"/>
      <c r="I26" s="36"/>
      <c r="J26" s="36"/>
      <c r="K26" s="36"/>
      <c r="L26" s="36"/>
    </row>
    <row r="27" spans="1:12" ht="30" customHeight="1" x14ac:dyDescent="0.25">
      <c r="A27" s="82">
        <v>1987</v>
      </c>
      <c r="B27" s="82">
        <v>1986</v>
      </c>
      <c r="C27" s="36"/>
      <c r="D27" s="36"/>
      <c r="E27" s="36"/>
      <c r="F27" s="36"/>
      <c r="G27" s="36"/>
      <c r="H27" s="36"/>
      <c r="I27" s="36"/>
      <c r="J27" s="36"/>
      <c r="K27" s="36"/>
      <c r="L27" s="36"/>
    </row>
    <row r="28" spans="1:12" ht="30" customHeight="1" x14ac:dyDescent="0.25">
      <c r="A28" s="82">
        <v>1986</v>
      </c>
      <c r="B28" s="82">
        <v>1985</v>
      </c>
    </row>
    <row r="29" spans="1:12" ht="30" customHeight="1" x14ac:dyDescent="0.25">
      <c r="A29" s="82">
        <v>1985</v>
      </c>
      <c r="B29" s="82">
        <v>1984</v>
      </c>
    </row>
    <row r="30" spans="1:12" ht="30" customHeight="1" x14ac:dyDescent="0.25">
      <c r="A30" s="82">
        <v>1984</v>
      </c>
      <c r="B30" s="82">
        <v>1983</v>
      </c>
    </row>
    <row r="31" spans="1:12" ht="30" customHeight="1" x14ac:dyDescent="0.25">
      <c r="A31" s="82">
        <v>1983</v>
      </c>
      <c r="B31" s="82">
        <v>1982</v>
      </c>
    </row>
    <row r="32" spans="1:12" ht="30" customHeight="1" x14ac:dyDescent="0.25">
      <c r="A32" s="82">
        <v>1982</v>
      </c>
      <c r="B32" s="82">
        <v>1981</v>
      </c>
    </row>
    <row r="87" spans="1:2" ht="30" customHeight="1" x14ac:dyDescent="0.25">
      <c r="A87" s="147"/>
      <c r="B87" s="147"/>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sheetData>
  <mergeCells count="1">
    <mergeCell ref="L6:L9"/>
  </mergeCells>
  <hyperlinks>
    <hyperlink ref="J9" r:id="rId1" location="LEGIARTI000006322286" display="http://legifrance.gouv.fr/affichTexteArticle.do;jsessionid=74B6FCBBE75E37F0115D9428F2169E51.tpdjo12v_1?cidTexte=JORFTEXT000000240757&amp;idArticle=LEGIARTI000006322286&amp;dateTexte=20071227&amp;categorieLien=id - LEGIARTI000006322286"/>
    <hyperlink ref="J12" r:id="rId2" location="LEGIARTI000006212781" display="http://legifrance.gouv.fr/affichTexteArticle.do;jsessionid=74B6FCBBE75E37F0115D9428F2169E51.tpdjo12v_1?cidTexte=JORFTEXT000000596281&amp;idArticle=LEGIARTI000006212781&amp;dateTexte=20040531&amp;categorieLien=id - LEGIARTI000006212781"/>
    <hyperlink ref="J3" r:id="rId3" location="LEGIARTI000024154164" display="http://legifrance.gouv.fr/affichTexteArticle.do;jsessionid=74B6FCBBE75E37F0115D9428F2169E51.tpdjo12v_1?cidTexte=JORFTEXT000024152033&amp;idArticle=LEGIARTI000024154164&amp;dateTexte=20111118&amp;categorieLien=id - LEGIARTI000024154164"/>
    <hyperlink ref="J4" r:id="rId4" location="LEGIARTI000022169561" display="http://legifrance.gouv.fr/affichTexteArticle.do;jsessionid=74B6FCBBE75E37F0115D9428F2169E51.tpdjo12v_1?cidTexte=JORFTEXT000022166146&amp;idArticle=LEGIARTI000022169561&amp;dateTexte=20110611&amp;categorieLien=id - LEGIARTI000022169561"/>
    <hyperlink ref="J5" r:id="rId5" location="LEGIARTI000020499734" display="http://legifrance.gouv.fr/affichTexteArticle.do;jsessionid=74B6FCBBE75E37F0115D9428F2169E51.tpdjo12v_1?cidTexte=JORFTEXT000020496091&amp;idArticle=LEGIARTI000020499734&amp;dateTexte=20091231&amp;categorieLien=id - LEGIARTI000020499734"/>
    <hyperlink ref="J6" r:id="rId6" location="LEGIARTI000018559051" display="http://legifrance.gouv.fr/affichTexteArticle.do;jsessionid=74B6FCBBE75E37F0115D9428F2169E51.tpdjo12v_1?cidTexte=JORFTEXT000018557013&amp;idArticle=LEGIARTI000018559051&amp;dateTexte=20080805&amp;categorieLien=id - LEGIARTI000018559051"/>
    <hyperlink ref="J10" r:id="rId7" display="http://www.legifrance.gouv.fr/affichTexte.do;jsessionid=59D7B79F52D4792291A607E304939D25.tpdjo09v_3?cidTexte=JORFTEXT000000806166&amp;dateTexte=20111122"/>
    <hyperlink ref="J11" r:id="rId8" location="LEGIARTI000006221812" display="http://www.legifrance.gouv.fr/affichTexteArticle.do;jsessionid=59D7B79F52D4792291A607E304939D25.tpdjo09v_3?cidTexte=JORFTEXT000000791289&amp;idArticle=LEGIARTI000006221812&amp;dateTexte=20031230&amp;categorieLien=id - LEGIARTI000006221812"/>
  </hyperlinks>
  <pageMargins left="0.7" right="0.7" top="0.75" bottom="0.75" header="0.3" footer="0.3"/>
  <pageSetup paperSize="9" orientation="portrait" r:id="rId9"/>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workbookViewId="0">
      <pane xSplit="2" ySplit="2" topLeftCell="C3" activePane="bottomRight" state="frozen"/>
      <selection pane="topRight" activeCell="B1" sqref="B1"/>
      <selection pane="bottomLeft" activeCell="A2" sqref="A2"/>
      <selection pane="bottomRight" activeCell="E1" sqref="E1:E1048576"/>
    </sheetView>
  </sheetViews>
  <sheetFormatPr baseColWidth="10" defaultColWidth="15.7109375" defaultRowHeight="30" customHeight="1" x14ac:dyDescent="0.25"/>
  <cols>
    <col min="1" max="2" width="15.7109375" style="72" customWidth="1"/>
    <col min="3" max="3" width="26" style="35" customWidth="1"/>
    <col min="4" max="4" width="31.42578125" style="35" customWidth="1"/>
    <col min="5" max="5" width="37.140625" style="35" customWidth="1"/>
    <col min="6" max="6" width="15.140625" style="35" customWidth="1"/>
    <col min="7" max="7" width="100.140625" style="35" customWidth="1"/>
    <col min="8" max="16384" width="15.7109375" style="35"/>
  </cols>
  <sheetData>
    <row r="1" spans="1:7" ht="30" hidden="1" customHeight="1" x14ac:dyDescent="0.25">
      <c r="A1" s="4" t="s">
        <v>221</v>
      </c>
      <c r="B1" s="4" t="s">
        <v>222</v>
      </c>
      <c r="C1" s="28" t="s">
        <v>261</v>
      </c>
      <c r="D1" s="225" t="s">
        <v>170</v>
      </c>
      <c r="E1" s="4" t="s">
        <v>501</v>
      </c>
      <c r="F1" s="4" t="s">
        <v>4</v>
      </c>
      <c r="G1" s="5" t="s">
        <v>5</v>
      </c>
    </row>
    <row r="2" spans="1:7" ht="47.25" customHeight="1" x14ac:dyDescent="0.25">
      <c r="A2" s="4" t="s">
        <v>221</v>
      </c>
      <c r="B2" s="4" t="s">
        <v>222</v>
      </c>
      <c r="C2" s="265" t="s">
        <v>499</v>
      </c>
      <c r="D2" s="264" t="s">
        <v>500</v>
      </c>
      <c r="E2" s="4" t="s">
        <v>260</v>
      </c>
      <c r="F2" s="4" t="s">
        <v>4</v>
      </c>
      <c r="G2" s="5" t="s">
        <v>5</v>
      </c>
    </row>
    <row r="3" spans="1:7" s="72" customFormat="1" ht="30" customHeight="1" x14ac:dyDescent="0.25">
      <c r="A3" s="82">
        <v>2011</v>
      </c>
      <c r="B3" s="82">
        <v>2010</v>
      </c>
      <c r="C3" s="66">
        <v>0.66</v>
      </c>
      <c r="D3" s="66">
        <v>0.01</v>
      </c>
      <c r="E3" s="83"/>
      <c r="F3" s="52"/>
      <c r="G3" s="300" t="s">
        <v>174</v>
      </c>
    </row>
    <row r="4" spans="1:7" s="72" customFormat="1" ht="30" customHeight="1" x14ac:dyDescent="0.25">
      <c r="A4" s="82">
        <v>2010</v>
      </c>
      <c r="B4" s="82">
        <v>2009</v>
      </c>
      <c r="C4" s="66">
        <v>0.66</v>
      </c>
      <c r="D4" s="66">
        <v>0.01</v>
      </c>
      <c r="E4" s="84"/>
      <c r="F4" s="52"/>
      <c r="G4" s="300"/>
    </row>
    <row r="5" spans="1:7" s="72" customFormat="1" ht="30" customHeight="1" x14ac:dyDescent="0.25">
      <c r="A5" s="82">
        <v>2009</v>
      </c>
      <c r="B5" s="82">
        <v>2008</v>
      </c>
      <c r="C5" s="66">
        <v>0.66</v>
      </c>
      <c r="D5" s="66">
        <v>0.01</v>
      </c>
      <c r="E5" s="83"/>
      <c r="F5" s="52"/>
      <c r="G5" s="61"/>
    </row>
    <row r="6" spans="1:7" s="72" customFormat="1" ht="30" customHeight="1" x14ac:dyDescent="0.25">
      <c r="A6" s="82">
        <v>2008</v>
      </c>
      <c r="B6" s="82">
        <v>2007</v>
      </c>
      <c r="C6" s="66">
        <v>0.66</v>
      </c>
      <c r="D6" s="66">
        <v>0.01</v>
      </c>
      <c r="E6" s="85" t="s">
        <v>144</v>
      </c>
      <c r="F6" s="52">
        <v>39540</v>
      </c>
      <c r="G6" s="61"/>
    </row>
    <row r="7" spans="1:7" s="72" customFormat="1" ht="30" customHeight="1" x14ac:dyDescent="0.25">
      <c r="A7" s="82">
        <v>2007</v>
      </c>
      <c r="B7" s="82">
        <v>2006</v>
      </c>
      <c r="C7" s="66">
        <v>0.66</v>
      </c>
      <c r="D7" s="66">
        <v>0.01</v>
      </c>
      <c r="E7" s="94"/>
      <c r="F7" s="52"/>
      <c r="G7" s="54"/>
    </row>
    <row r="8" spans="1:7" s="72" customFormat="1" ht="30" customHeight="1" x14ac:dyDescent="0.25">
      <c r="A8" s="82">
        <v>2006</v>
      </c>
      <c r="B8" s="82">
        <v>2005</v>
      </c>
      <c r="C8" s="66">
        <v>0.66</v>
      </c>
      <c r="D8" s="66">
        <v>0.01</v>
      </c>
      <c r="E8" s="83"/>
      <c r="F8" s="52"/>
      <c r="G8" s="61"/>
    </row>
    <row r="9" spans="1:7" s="72" customFormat="1" ht="30" customHeight="1" x14ac:dyDescent="0.25">
      <c r="A9" s="82">
        <v>2005</v>
      </c>
      <c r="B9" s="82">
        <v>2004</v>
      </c>
      <c r="C9" s="66">
        <v>0.5</v>
      </c>
      <c r="D9" s="66">
        <v>0.01</v>
      </c>
      <c r="E9" s="88" t="s">
        <v>173</v>
      </c>
      <c r="F9" s="52">
        <v>38352</v>
      </c>
      <c r="G9" s="61"/>
    </row>
    <row r="10" spans="1:7" s="72" customFormat="1" ht="30" customHeight="1" x14ac:dyDescent="0.25">
      <c r="A10" s="82">
        <v>2004</v>
      </c>
      <c r="B10" s="82">
        <v>2003</v>
      </c>
      <c r="C10" s="66">
        <v>0.5</v>
      </c>
      <c r="D10" s="66">
        <v>0.01</v>
      </c>
      <c r="E10" s="83"/>
      <c r="F10" s="52"/>
      <c r="G10" s="95"/>
    </row>
    <row r="11" spans="1:7" s="72" customFormat="1" ht="30" customHeight="1" x14ac:dyDescent="0.25">
      <c r="A11" s="82">
        <v>2003</v>
      </c>
      <c r="B11" s="82">
        <v>2002</v>
      </c>
      <c r="C11" s="66">
        <v>0.5</v>
      </c>
      <c r="D11" s="66">
        <v>0.01</v>
      </c>
      <c r="E11" s="83"/>
      <c r="F11" s="52"/>
      <c r="G11" s="61"/>
    </row>
    <row r="12" spans="1:7" s="72" customFormat="1" ht="30" customHeight="1" x14ac:dyDescent="0.25">
      <c r="A12" s="82">
        <v>2002</v>
      </c>
      <c r="B12" s="82">
        <v>2001</v>
      </c>
      <c r="C12" s="66">
        <v>0.5</v>
      </c>
      <c r="D12" s="66">
        <v>0.01</v>
      </c>
      <c r="E12" s="88" t="s">
        <v>172</v>
      </c>
      <c r="F12" s="52">
        <v>37415</v>
      </c>
      <c r="G12" s="61"/>
    </row>
    <row r="13" spans="1:7" s="73" customFormat="1" ht="30" customHeight="1" x14ac:dyDescent="0.25">
      <c r="A13" s="82">
        <v>2001</v>
      </c>
      <c r="B13" s="82">
        <v>2000</v>
      </c>
      <c r="C13" s="66">
        <v>0.3</v>
      </c>
      <c r="D13" s="66">
        <v>0.01</v>
      </c>
      <c r="E13" s="83"/>
      <c r="F13" s="52"/>
      <c r="G13" s="36"/>
    </row>
    <row r="14" spans="1:7" s="73" customFormat="1" ht="30" customHeight="1" x14ac:dyDescent="0.25">
      <c r="A14" s="82">
        <v>2000</v>
      </c>
      <c r="B14" s="82">
        <v>1999</v>
      </c>
      <c r="C14" s="66">
        <v>0.3</v>
      </c>
      <c r="D14" s="66">
        <v>0.01</v>
      </c>
      <c r="E14" s="63"/>
      <c r="F14" s="52"/>
      <c r="G14" s="70"/>
    </row>
    <row r="15" spans="1:7" s="73" customFormat="1" ht="30" customHeight="1" x14ac:dyDescent="0.25">
      <c r="A15" s="82">
        <v>1999</v>
      </c>
      <c r="B15" s="82">
        <v>1998</v>
      </c>
      <c r="C15" s="66">
        <v>0.3</v>
      </c>
      <c r="D15" s="66">
        <v>0.01</v>
      </c>
      <c r="E15" s="63"/>
      <c r="F15" s="52"/>
      <c r="G15" s="80"/>
    </row>
    <row r="16" spans="1:7" s="73" customFormat="1" ht="30" customHeight="1" x14ac:dyDescent="0.25">
      <c r="A16" s="82">
        <v>1998</v>
      </c>
      <c r="B16" s="82">
        <v>1997</v>
      </c>
      <c r="C16" s="66">
        <v>0.3</v>
      </c>
      <c r="D16" s="66">
        <v>0.01</v>
      </c>
      <c r="E16" s="63"/>
      <c r="F16" s="52"/>
      <c r="G16" s="80"/>
    </row>
    <row r="17" spans="1:7" s="73" customFormat="1" ht="30" customHeight="1" x14ac:dyDescent="0.25">
      <c r="A17" s="82">
        <v>1997</v>
      </c>
      <c r="B17" s="82">
        <v>1996</v>
      </c>
      <c r="C17" s="66">
        <v>0.3</v>
      </c>
      <c r="D17" s="66">
        <v>0.01</v>
      </c>
      <c r="E17" s="68"/>
      <c r="F17" s="52"/>
      <c r="G17" s="70"/>
    </row>
    <row r="18" spans="1:7" s="73" customFormat="1" ht="30" customHeight="1" x14ac:dyDescent="0.25">
      <c r="A18" s="82">
        <v>1996</v>
      </c>
      <c r="B18" s="82">
        <v>1995</v>
      </c>
      <c r="C18" s="66">
        <v>0.3</v>
      </c>
      <c r="D18" s="66">
        <v>0.01</v>
      </c>
      <c r="E18" s="68"/>
      <c r="F18" s="81"/>
      <c r="G18" s="70"/>
    </row>
    <row r="19" spans="1:7" s="73" customFormat="1" ht="30" customHeight="1" x14ac:dyDescent="0.25">
      <c r="A19" s="82">
        <v>1995</v>
      </c>
      <c r="B19" s="82">
        <v>1994</v>
      </c>
      <c r="C19" s="66">
        <v>0.3</v>
      </c>
      <c r="D19" s="66">
        <v>0.01</v>
      </c>
      <c r="E19" s="68"/>
      <c r="F19" s="81"/>
      <c r="G19" s="70"/>
    </row>
    <row r="20" spans="1:7" ht="30" customHeight="1" x14ac:dyDescent="0.25">
      <c r="A20" s="82">
        <v>1994</v>
      </c>
      <c r="B20" s="82">
        <v>1993</v>
      </c>
      <c r="C20" s="36"/>
      <c r="D20" s="36"/>
      <c r="E20" s="71"/>
      <c r="F20" s="62"/>
      <c r="G20" s="70"/>
    </row>
    <row r="21" spans="1:7" ht="30" customHeight="1" x14ac:dyDescent="0.25">
      <c r="A21" s="82">
        <v>1993</v>
      </c>
      <c r="B21" s="82">
        <v>1992</v>
      </c>
      <c r="C21" s="36"/>
      <c r="D21" s="36"/>
      <c r="E21" s="71"/>
      <c r="F21" s="62"/>
      <c r="G21" s="70"/>
    </row>
    <row r="22" spans="1:7" ht="30" customHeight="1" x14ac:dyDescent="0.25">
      <c r="A22" s="82">
        <v>1992</v>
      </c>
      <c r="B22" s="82">
        <v>1991</v>
      </c>
      <c r="C22" s="36"/>
      <c r="D22" s="36"/>
      <c r="E22" s="36"/>
      <c r="F22" s="36"/>
      <c r="G22" s="36"/>
    </row>
    <row r="23" spans="1:7" ht="30" customHeight="1" x14ac:dyDescent="0.25">
      <c r="A23" s="82">
        <v>1991</v>
      </c>
      <c r="B23" s="82">
        <v>1990</v>
      </c>
      <c r="C23" s="36"/>
      <c r="D23" s="36"/>
      <c r="E23" s="36"/>
      <c r="F23" s="36"/>
      <c r="G23" s="36"/>
    </row>
    <row r="24" spans="1:7" ht="30" customHeight="1" x14ac:dyDescent="0.25">
      <c r="A24" s="82">
        <v>1990</v>
      </c>
      <c r="B24" s="82">
        <v>1989</v>
      </c>
      <c r="C24" s="36"/>
      <c r="D24" s="36"/>
      <c r="E24" s="36"/>
      <c r="F24" s="36"/>
      <c r="G24" s="36"/>
    </row>
    <row r="25" spans="1:7" ht="30" customHeight="1" x14ac:dyDescent="0.25">
      <c r="A25" s="82">
        <v>1989</v>
      </c>
      <c r="B25" s="82">
        <v>1988</v>
      </c>
      <c r="C25" s="36"/>
      <c r="D25" s="36"/>
      <c r="E25" s="36"/>
      <c r="F25" s="36"/>
      <c r="G25" s="36"/>
    </row>
    <row r="26" spans="1:7" ht="30" customHeight="1" x14ac:dyDescent="0.25">
      <c r="A26" s="82">
        <v>1988</v>
      </c>
      <c r="B26" s="82">
        <v>1987</v>
      </c>
      <c r="C26" s="36"/>
      <c r="D26" s="36"/>
      <c r="E26" s="36"/>
      <c r="F26" s="36"/>
      <c r="G26" s="36"/>
    </row>
    <row r="27" spans="1:7" ht="30" customHeight="1" x14ac:dyDescent="0.25">
      <c r="A27" s="82">
        <v>1987</v>
      </c>
      <c r="B27" s="82">
        <v>1986</v>
      </c>
      <c r="C27" s="36"/>
      <c r="D27" s="36"/>
      <c r="E27" s="36"/>
      <c r="F27" s="36"/>
      <c r="G27" s="36"/>
    </row>
    <row r="28" spans="1:7" ht="30" customHeight="1" x14ac:dyDescent="0.25">
      <c r="A28" s="82">
        <v>1986</v>
      </c>
      <c r="B28" s="82">
        <v>1985</v>
      </c>
    </row>
    <row r="29" spans="1:7" ht="30" customHeight="1" x14ac:dyDescent="0.25">
      <c r="A29" s="82">
        <v>1985</v>
      </c>
      <c r="B29" s="82">
        <v>1984</v>
      </c>
    </row>
    <row r="30" spans="1:7" ht="30" customHeight="1" x14ac:dyDescent="0.25">
      <c r="A30" s="82">
        <v>1984</v>
      </c>
      <c r="B30" s="82">
        <v>1983</v>
      </c>
    </row>
    <row r="31" spans="1:7" ht="30" customHeight="1" x14ac:dyDescent="0.25">
      <c r="A31" s="82">
        <v>1983</v>
      </c>
      <c r="B31" s="82">
        <v>1982</v>
      </c>
    </row>
    <row r="32" spans="1:7" ht="30" customHeight="1" x14ac:dyDescent="0.25">
      <c r="A32" s="82">
        <v>1982</v>
      </c>
      <c r="B32" s="82">
        <v>1981</v>
      </c>
    </row>
    <row r="87" spans="1:2" ht="30" customHeight="1" x14ac:dyDescent="0.25">
      <c r="A87" s="147"/>
      <c r="B87" s="147"/>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sheetData>
  <mergeCells count="1">
    <mergeCell ref="G3:G4"/>
  </mergeCells>
  <hyperlinks>
    <hyperlink ref="E6" r:id="rId1" location="LEGIARTI000018559051" display="http://www.legifrance.gouv.fr/affichTexteArticle.do;jsessionid=304501568C86C5032D74B02778A01E23.tpdjo08v_2?cidTexte=JORFTEXT000018557013&amp;idArticle=LEGIARTI000018559051&amp;dateTexte=20090409&amp;categorieLien=id - LEGIARTI000018559051"/>
    <hyperlink ref="E9" r:id="rId2" location="LEGIARTI000006322286" display="http://legifrance.gouv.fr/affichTexteArticle.do;jsessionid=74B6FCBBE75E37F0115D9428F2169E51.tpdjo12v_1?cidTexte=JORFTEXT000000240757&amp;idArticle=LEGIARTI000006322286&amp;dateTexte=20071227&amp;categorieLien=id - LEGIARTI000006322286"/>
    <hyperlink ref="E12" r:id="rId3" location="LEGIARTI000006212781" display="http://legifrance.gouv.fr/affichTexteArticle.do;jsessionid=74B6FCBBE75E37F0115D9428F2169E51.tpdjo12v_1?cidTexte=JORFTEXT000000596281&amp;idArticle=LEGIARTI000006212781&amp;dateTexte=20040531&amp;categorieLien=id - LEGIARTI000006212781"/>
  </hyperlinks>
  <pageMargins left="0.7" right="0.7" top="0.75" bottom="0.75" header="0.3" footer="0.3"/>
  <pageSetup paperSize="9"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pane xSplit="2" ySplit="2" topLeftCell="C3" activePane="bottomRight" state="frozen"/>
      <selection pane="topRight" activeCell="C1" sqref="C1"/>
      <selection pane="bottomLeft" activeCell="A2" sqref="A2"/>
      <selection pane="bottomRight" activeCell="F8" sqref="F8"/>
    </sheetView>
  </sheetViews>
  <sheetFormatPr baseColWidth="10" defaultRowHeight="30" customHeight="1" x14ac:dyDescent="0.25"/>
  <cols>
    <col min="3" max="3" width="19.42578125" customWidth="1"/>
    <col min="4" max="4" width="19.140625" customWidth="1"/>
    <col min="5" max="5" width="24.28515625" customWidth="1"/>
    <col min="6" max="6" width="37.140625" style="35" customWidth="1"/>
    <col min="7" max="7" width="18.85546875" customWidth="1"/>
    <col min="8" max="8" width="72.42578125" customWidth="1"/>
  </cols>
  <sheetData>
    <row r="1" spans="1:8" ht="30" hidden="1" customHeight="1" x14ac:dyDescent="0.25">
      <c r="A1" s="4" t="s">
        <v>221</v>
      </c>
      <c r="B1" s="4" t="s">
        <v>222</v>
      </c>
      <c r="C1" s="104" t="s">
        <v>311</v>
      </c>
      <c r="D1" s="104" t="s">
        <v>249</v>
      </c>
      <c r="E1" s="104" t="s">
        <v>312</v>
      </c>
      <c r="F1" s="4" t="s">
        <v>501</v>
      </c>
      <c r="G1" s="4" t="s">
        <v>4</v>
      </c>
      <c r="H1" s="5" t="s">
        <v>5</v>
      </c>
    </row>
    <row r="2" spans="1:8" ht="63" customHeight="1" x14ac:dyDescent="0.25">
      <c r="A2" s="4" t="s">
        <v>221</v>
      </c>
      <c r="B2" s="4" t="s">
        <v>222</v>
      </c>
      <c r="C2" s="276" t="s">
        <v>502</v>
      </c>
      <c r="D2" s="276" t="s">
        <v>503</v>
      </c>
      <c r="E2" s="276" t="s">
        <v>504</v>
      </c>
      <c r="F2" s="4" t="s">
        <v>260</v>
      </c>
      <c r="G2" s="4" t="s">
        <v>4</v>
      </c>
      <c r="H2" s="5" t="s">
        <v>5</v>
      </c>
    </row>
    <row r="3" spans="1:8" ht="30" customHeight="1" x14ac:dyDescent="0.25">
      <c r="A3" s="82">
        <v>2011</v>
      </c>
      <c r="B3" s="82">
        <v>2010</v>
      </c>
      <c r="C3" s="66">
        <v>0.4</v>
      </c>
      <c r="D3" s="86">
        <v>19000</v>
      </c>
      <c r="E3" s="155">
        <v>0.25</v>
      </c>
      <c r="F3" s="83"/>
      <c r="G3" s="52"/>
      <c r="H3" s="152" t="s">
        <v>505</v>
      </c>
    </row>
    <row r="4" spans="1:8" ht="30" customHeight="1" x14ac:dyDescent="0.25">
      <c r="A4" s="82">
        <v>2010</v>
      </c>
      <c r="B4" s="82">
        <v>2009</v>
      </c>
      <c r="C4" s="66">
        <v>0.4</v>
      </c>
      <c r="D4" s="86">
        <v>19000</v>
      </c>
      <c r="E4" s="155">
        <v>0.25</v>
      </c>
      <c r="F4" s="84"/>
      <c r="G4" s="52"/>
      <c r="H4" s="96" t="s">
        <v>506</v>
      </c>
    </row>
    <row r="5" spans="1:8" ht="30" customHeight="1" x14ac:dyDescent="0.25">
      <c r="A5" s="82">
        <v>2009</v>
      </c>
      <c r="B5" s="82">
        <v>2008</v>
      </c>
      <c r="C5" s="132"/>
      <c r="D5" s="128"/>
      <c r="E5" s="158"/>
      <c r="F5" s="83"/>
      <c r="G5" s="52"/>
      <c r="H5" s="61"/>
    </row>
    <row r="6" spans="1:8" ht="30" customHeight="1" x14ac:dyDescent="0.25">
      <c r="A6" s="82">
        <v>2008</v>
      </c>
      <c r="B6" s="82">
        <v>2007</v>
      </c>
      <c r="C6" s="132"/>
      <c r="D6" s="128"/>
      <c r="E6" s="158"/>
      <c r="F6" s="85"/>
      <c r="G6" s="52"/>
      <c r="H6" s="61"/>
    </row>
    <row r="7" spans="1:8" ht="30" customHeight="1" x14ac:dyDescent="0.25">
      <c r="A7" s="82">
        <v>2007</v>
      </c>
      <c r="B7" s="82">
        <v>2006</v>
      </c>
      <c r="C7" s="132"/>
      <c r="D7" s="86">
        <v>19000</v>
      </c>
      <c r="E7" s="40">
        <v>0.25</v>
      </c>
      <c r="F7" s="94"/>
      <c r="G7" s="52"/>
      <c r="H7" s="152" t="s">
        <v>507</v>
      </c>
    </row>
    <row r="8" spans="1:8" ht="30" customHeight="1" x14ac:dyDescent="0.25">
      <c r="A8" s="82">
        <v>2006</v>
      </c>
      <c r="B8" s="82">
        <v>2005</v>
      </c>
      <c r="C8" s="132"/>
      <c r="D8" s="86">
        <v>19000</v>
      </c>
      <c r="E8" s="40">
        <v>0.25</v>
      </c>
      <c r="F8" s="83"/>
      <c r="G8" s="52"/>
      <c r="H8" s="61"/>
    </row>
    <row r="9" spans="1:8" ht="30" customHeight="1" x14ac:dyDescent="0.25">
      <c r="A9" s="82">
        <v>2005</v>
      </c>
      <c r="B9" s="82">
        <v>2004</v>
      </c>
      <c r="C9" s="132"/>
      <c r="D9" s="86">
        <v>19000</v>
      </c>
      <c r="E9" s="40">
        <v>0.25</v>
      </c>
      <c r="F9" s="88"/>
      <c r="G9" s="52"/>
      <c r="H9" s="61"/>
    </row>
    <row r="10" spans="1:8" ht="30" customHeight="1" x14ac:dyDescent="0.25">
      <c r="A10" s="82">
        <v>2004</v>
      </c>
      <c r="B10" s="82">
        <v>2003</v>
      </c>
      <c r="C10" s="149"/>
      <c r="D10" s="86">
        <v>19000</v>
      </c>
      <c r="E10" s="114">
        <v>0.25</v>
      </c>
      <c r="F10" s="83"/>
      <c r="G10" s="52"/>
      <c r="H10" s="105"/>
    </row>
    <row r="11" spans="1:8" ht="30" customHeight="1" x14ac:dyDescent="0.25">
      <c r="A11" s="82">
        <v>2003</v>
      </c>
      <c r="B11" s="82">
        <v>2002</v>
      </c>
      <c r="C11" s="149"/>
      <c r="D11" s="86">
        <v>19000</v>
      </c>
      <c r="E11" s="114">
        <v>0.25</v>
      </c>
      <c r="F11" s="83"/>
      <c r="G11" s="52"/>
      <c r="H11" s="61"/>
    </row>
    <row r="12" spans="1:8" ht="30" customHeight="1" x14ac:dyDescent="0.25">
      <c r="A12" s="82">
        <v>2002</v>
      </c>
      <c r="B12" s="82">
        <v>2001</v>
      </c>
      <c r="C12" s="149"/>
      <c r="D12" s="86">
        <v>19000</v>
      </c>
      <c r="E12" s="114">
        <v>0.25</v>
      </c>
      <c r="F12" s="88"/>
      <c r="G12" s="52"/>
      <c r="H12" s="61"/>
    </row>
    <row r="13" spans="1:8" ht="30" customHeight="1" x14ac:dyDescent="0.25">
      <c r="A13" s="82">
        <v>2001</v>
      </c>
      <c r="B13" s="82">
        <v>2000</v>
      </c>
      <c r="C13" s="149"/>
      <c r="D13" s="154">
        <v>125000</v>
      </c>
      <c r="E13" s="114">
        <v>0.25</v>
      </c>
      <c r="F13" s="83"/>
      <c r="G13" s="52"/>
      <c r="H13" s="36"/>
    </row>
    <row r="14" spans="1:8" ht="30" customHeight="1" x14ac:dyDescent="0.25">
      <c r="A14" s="82">
        <v>2000</v>
      </c>
      <c r="B14" s="82">
        <v>1999</v>
      </c>
      <c r="C14" s="149"/>
      <c r="D14" s="154">
        <v>125000</v>
      </c>
      <c r="E14" s="114">
        <v>0.25</v>
      </c>
      <c r="F14" s="63"/>
      <c r="G14" s="52"/>
      <c r="H14" s="70"/>
    </row>
    <row r="15" spans="1:8" ht="30" customHeight="1" x14ac:dyDescent="0.25">
      <c r="A15" s="82">
        <v>1999</v>
      </c>
      <c r="B15" s="82">
        <v>1998</v>
      </c>
      <c r="C15" s="149"/>
      <c r="D15" s="154">
        <v>125000</v>
      </c>
      <c r="E15" s="114">
        <v>0.25</v>
      </c>
      <c r="F15" s="63"/>
      <c r="G15" s="52"/>
      <c r="H15" s="107" t="s">
        <v>508</v>
      </c>
    </row>
    <row r="16" spans="1:8" ht="30" customHeight="1" x14ac:dyDescent="0.25">
      <c r="A16" s="82">
        <v>1998</v>
      </c>
      <c r="B16" s="82">
        <v>1997</v>
      </c>
      <c r="C16" s="149"/>
      <c r="D16" s="159"/>
      <c r="E16" s="159"/>
      <c r="F16" s="63"/>
      <c r="G16" s="52"/>
      <c r="H16" s="106"/>
    </row>
    <row r="17" spans="1:8" ht="30" customHeight="1" x14ac:dyDescent="0.25">
      <c r="A17" s="82">
        <v>1997</v>
      </c>
      <c r="B17" s="82">
        <v>1996</v>
      </c>
      <c r="C17" s="149"/>
      <c r="D17" s="159"/>
      <c r="E17" s="159"/>
      <c r="F17" s="68"/>
      <c r="G17" s="52"/>
      <c r="H17" s="70"/>
    </row>
    <row r="18" spans="1:8" ht="30" customHeight="1" x14ac:dyDescent="0.25">
      <c r="A18" s="82">
        <v>1996</v>
      </c>
      <c r="B18" s="82">
        <v>1995</v>
      </c>
      <c r="C18" s="149"/>
      <c r="D18" s="159"/>
      <c r="E18" s="159"/>
      <c r="F18" s="68"/>
      <c r="G18" s="81"/>
      <c r="H18" s="70"/>
    </row>
    <row r="19" spans="1:8" ht="30" customHeight="1" x14ac:dyDescent="0.25">
      <c r="A19" s="82">
        <v>1995</v>
      </c>
      <c r="B19" s="82">
        <v>1994</v>
      </c>
      <c r="C19" s="149"/>
      <c r="D19" s="130"/>
      <c r="E19" s="132"/>
      <c r="F19" s="68"/>
      <c r="G19" s="81"/>
    </row>
    <row r="20" spans="1:8" ht="30" customHeight="1" x14ac:dyDescent="0.25">
      <c r="A20" s="82">
        <v>1994</v>
      </c>
      <c r="B20" s="82">
        <v>1993</v>
      </c>
      <c r="C20" s="36"/>
      <c r="D20" s="36"/>
      <c r="E20" s="71"/>
      <c r="F20" s="71"/>
      <c r="G20" s="62"/>
      <c r="H20" s="96"/>
    </row>
    <row r="21" spans="1:8" ht="30" customHeight="1" x14ac:dyDescent="0.25">
      <c r="A21" s="82">
        <v>1993</v>
      </c>
      <c r="B21" s="82">
        <v>1992</v>
      </c>
      <c r="C21" s="36"/>
      <c r="D21" s="36"/>
      <c r="E21" s="71"/>
      <c r="F21" s="71"/>
      <c r="G21" s="62"/>
      <c r="H21" s="61"/>
    </row>
    <row r="22" spans="1:8" ht="30" customHeight="1" x14ac:dyDescent="0.25">
      <c r="A22" s="82">
        <v>1992</v>
      </c>
      <c r="B22" s="82">
        <v>1991</v>
      </c>
      <c r="C22" s="36"/>
      <c r="D22" s="36"/>
      <c r="E22" s="36"/>
      <c r="F22" s="36"/>
      <c r="G22" s="36"/>
      <c r="H22" s="61"/>
    </row>
    <row r="23" spans="1:8" ht="30" customHeight="1" x14ac:dyDescent="0.25">
      <c r="A23" s="82">
        <v>1991</v>
      </c>
      <c r="B23" s="82">
        <v>1990</v>
      </c>
      <c r="C23" s="36"/>
      <c r="D23" s="36"/>
      <c r="E23" s="36"/>
      <c r="F23" s="36"/>
      <c r="G23" s="36"/>
      <c r="H23" s="152"/>
    </row>
    <row r="24" spans="1:8" ht="30" customHeight="1" x14ac:dyDescent="0.25">
      <c r="A24" s="82">
        <v>1990</v>
      </c>
      <c r="B24" s="82">
        <v>1989</v>
      </c>
      <c r="C24" s="36"/>
      <c r="D24" s="36"/>
      <c r="E24" s="36"/>
      <c r="F24" s="36"/>
      <c r="G24" s="36"/>
      <c r="H24" s="61"/>
    </row>
    <row r="25" spans="1:8" ht="30" customHeight="1" x14ac:dyDescent="0.25">
      <c r="A25" s="82">
        <v>1989</v>
      </c>
      <c r="B25" s="82">
        <v>1988</v>
      </c>
      <c r="C25" s="36"/>
      <c r="D25" s="36"/>
      <c r="E25" s="36"/>
      <c r="F25" s="36"/>
      <c r="G25" s="36"/>
      <c r="H25" s="61"/>
    </row>
    <row r="26" spans="1:8" ht="30" customHeight="1" x14ac:dyDescent="0.25">
      <c r="A26" s="82">
        <v>1988</v>
      </c>
      <c r="B26" s="82">
        <v>1987</v>
      </c>
      <c r="C26" s="36"/>
      <c r="D26" s="36"/>
      <c r="E26" s="36"/>
      <c r="F26" s="36"/>
      <c r="G26" s="36"/>
      <c r="H26" s="105"/>
    </row>
    <row r="27" spans="1:8" ht="30" customHeight="1" x14ac:dyDescent="0.25">
      <c r="A27" s="82">
        <v>1987</v>
      </c>
      <c r="B27" s="82">
        <v>1986</v>
      </c>
      <c r="C27" s="36"/>
      <c r="D27" s="36"/>
      <c r="E27" s="36"/>
      <c r="F27" s="36"/>
      <c r="G27" s="36"/>
      <c r="H27" s="61"/>
    </row>
    <row r="28" spans="1:8" ht="30" customHeight="1" x14ac:dyDescent="0.25">
      <c r="A28" s="82">
        <v>1986</v>
      </c>
      <c r="B28" s="82">
        <v>1985</v>
      </c>
      <c r="C28" s="35"/>
      <c r="D28" s="35"/>
      <c r="E28" s="35"/>
      <c r="G28" s="35"/>
      <c r="H28" s="61"/>
    </row>
    <row r="29" spans="1:8" ht="30" customHeight="1" x14ac:dyDescent="0.25">
      <c r="A29" s="82">
        <v>1985</v>
      </c>
      <c r="B29" s="82">
        <v>1984</v>
      </c>
      <c r="C29" s="35"/>
      <c r="D29" s="35"/>
      <c r="E29" s="35"/>
      <c r="G29" s="35"/>
      <c r="H29" s="36"/>
    </row>
    <row r="30" spans="1:8" ht="30" customHeight="1" x14ac:dyDescent="0.25">
      <c r="A30" s="82">
        <v>1984</v>
      </c>
      <c r="B30" s="82">
        <v>1983</v>
      </c>
      <c r="C30" s="35"/>
      <c r="D30" s="35"/>
      <c r="E30" s="35"/>
      <c r="G30" s="35"/>
      <c r="H30" s="70"/>
    </row>
    <row r="31" spans="1:8" ht="30" customHeight="1" x14ac:dyDescent="0.25">
      <c r="A31" s="82">
        <v>1983</v>
      </c>
      <c r="B31" s="82">
        <v>1982</v>
      </c>
      <c r="C31" s="35"/>
      <c r="D31" s="35"/>
      <c r="E31" s="35"/>
      <c r="G31" s="35"/>
      <c r="H31" s="106"/>
    </row>
    <row r="32" spans="1:8" ht="30" customHeight="1" x14ac:dyDescent="0.25">
      <c r="A32" s="82">
        <v>1982</v>
      </c>
      <c r="B32" s="82">
        <v>1981</v>
      </c>
      <c r="C32" s="35"/>
      <c r="D32" s="35"/>
      <c r="E32" s="35"/>
      <c r="G32" s="35"/>
      <c r="H32" s="106"/>
    </row>
    <row r="33" spans="8:8" ht="30" customHeight="1" x14ac:dyDescent="0.25">
      <c r="H33" s="70"/>
    </row>
    <row r="34" spans="8:8" ht="30" customHeight="1" x14ac:dyDescent="0.25">
      <c r="H34" s="70"/>
    </row>
    <row r="35" spans="8:8" ht="30" customHeight="1" x14ac:dyDescent="0.25">
      <c r="H35" s="10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pane xSplit="2" ySplit="2" topLeftCell="C3" activePane="bottomRight" state="frozen"/>
      <selection pane="topRight" activeCell="B1" sqref="B1"/>
      <selection pane="bottomLeft" activeCell="A2" sqref="A2"/>
      <selection pane="bottomRight" activeCell="A4" sqref="A4"/>
    </sheetView>
  </sheetViews>
  <sheetFormatPr baseColWidth="10" defaultColWidth="9.140625" defaultRowHeight="30" customHeight="1" x14ac:dyDescent="0.25"/>
  <cols>
    <col min="1" max="2" width="15.7109375" style="72" customWidth="1"/>
    <col min="3" max="3" width="19.42578125" customWidth="1"/>
    <col min="4" max="4" width="21.140625" customWidth="1"/>
    <col min="5" max="5" width="27.7109375" customWidth="1"/>
    <col min="6" max="6" width="25.140625" customWidth="1"/>
    <col min="7" max="7" width="24" customWidth="1"/>
    <col min="8" max="8" width="20.42578125" customWidth="1"/>
    <col min="9" max="9" width="35.140625" customWidth="1"/>
    <col min="10" max="10" width="14.7109375" customWidth="1"/>
    <col min="11" max="11" width="137.140625" style="76" customWidth="1"/>
  </cols>
  <sheetData>
    <row r="1" spans="1:11" ht="30" hidden="1" customHeight="1" x14ac:dyDescent="0.25">
      <c r="A1" s="4" t="s">
        <v>221</v>
      </c>
      <c r="B1" s="4" t="s">
        <v>222</v>
      </c>
      <c r="C1" s="65" t="s">
        <v>74</v>
      </c>
      <c r="D1" s="65" t="s">
        <v>75</v>
      </c>
      <c r="E1" s="65" t="s">
        <v>76</v>
      </c>
      <c r="F1" s="65" t="s">
        <v>77</v>
      </c>
      <c r="G1" s="65" t="s">
        <v>78</v>
      </c>
      <c r="H1" s="4" t="s">
        <v>3</v>
      </c>
      <c r="I1" s="4" t="s">
        <v>18</v>
      </c>
      <c r="J1" s="4" t="s">
        <v>4</v>
      </c>
      <c r="K1" s="5" t="s">
        <v>5</v>
      </c>
    </row>
    <row r="2" spans="1:11" ht="61.5" customHeight="1" x14ac:dyDescent="0.25">
      <c r="A2" s="4" t="s">
        <v>221</v>
      </c>
      <c r="B2" s="4" t="s">
        <v>222</v>
      </c>
      <c r="C2" s="286" t="s">
        <v>511</v>
      </c>
      <c r="D2" s="286" t="s">
        <v>509</v>
      </c>
      <c r="E2" s="286" t="s">
        <v>510</v>
      </c>
      <c r="F2" s="286" t="s">
        <v>512</v>
      </c>
      <c r="G2" s="286" t="s">
        <v>513</v>
      </c>
      <c r="H2" s="4" t="s">
        <v>3</v>
      </c>
      <c r="I2" s="4" t="s">
        <v>18</v>
      </c>
      <c r="J2" s="4" t="s">
        <v>4</v>
      </c>
      <c r="K2" s="5" t="s">
        <v>5</v>
      </c>
    </row>
    <row r="3" spans="1:11" ht="30" customHeight="1" x14ac:dyDescent="0.25">
      <c r="A3" s="82">
        <v>2011</v>
      </c>
      <c r="B3" s="82">
        <v>2010</v>
      </c>
      <c r="C3" s="66">
        <f t="shared" ref="C3:C12" si="0">50/100</f>
        <v>0.5</v>
      </c>
      <c r="D3" s="15">
        <f>12000</f>
        <v>12000</v>
      </c>
      <c r="E3" s="15">
        <f>1500</f>
        <v>1500</v>
      </c>
      <c r="F3" s="15">
        <f>15000</f>
        <v>15000</v>
      </c>
      <c r="G3" s="15">
        <f>20000</f>
        <v>20000</v>
      </c>
      <c r="K3" s="75" t="s">
        <v>515</v>
      </c>
    </row>
    <row r="4" spans="1:11" ht="30" customHeight="1" x14ac:dyDescent="0.25">
      <c r="A4" s="82">
        <v>2010</v>
      </c>
      <c r="B4" s="82">
        <v>2009</v>
      </c>
      <c r="C4" s="66">
        <f t="shared" si="0"/>
        <v>0.5</v>
      </c>
      <c r="D4" s="15">
        <f>12000</f>
        <v>12000</v>
      </c>
      <c r="E4" s="15">
        <f>1500</f>
        <v>1500</v>
      </c>
      <c r="F4" s="15">
        <f>15000</f>
        <v>15000</v>
      </c>
      <c r="G4" s="15">
        <f>20000</f>
        <v>20000</v>
      </c>
      <c r="H4" s="63" t="s">
        <v>113</v>
      </c>
      <c r="I4" s="63" t="s">
        <v>100</v>
      </c>
      <c r="J4" s="52">
        <v>39810</v>
      </c>
      <c r="K4" s="75" t="s">
        <v>516</v>
      </c>
    </row>
    <row r="5" spans="1:11" ht="30" customHeight="1" x14ac:dyDescent="0.25">
      <c r="A5" s="82">
        <v>2009</v>
      </c>
      <c r="B5" s="82">
        <v>2008</v>
      </c>
      <c r="C5" s="66">
        <f t="shared" si="0"/>
        <v>0.5</v>
      </c>
      <c r="D5" s="15">
        <f>12000</f>
        <v>12000</v>
      </c>
      <c r="E5" s="15">
        <f>1500</f>
        <v>1500</v>
      </c>
      <c r="F5" s="15">
        <f>15000</f>
        <v>15000</v>
      </c>
      <c r="G5" s="15">
        <f>20000</f>
        <v>20000</v>
      </c>
      <c r="K5" s="75"/>
    </row>
    <row r="6" spans="1:11" ht="30" customHeight="1" x14ac:dyDescent="0.25">
      <c r="A6" s="82">
        <v>2008</v>
      </c>
      <c r="B6" s="82">
        <v>2007</v>
      </c>
      <c r="C6" s="66">
        <f t="shared" si="0"/>
        <v>0.5</v>
      </c>
      <c r="D6" s="15">
        <f>12000</f>
        <v>12000</v>
      </c>
      <c r="E6" s="15">
        <f>1500</f>
        <v>1500</v>
      </c>
      <c r="F6" s="15">
        <f>15000</f>
        <v>15000</v>
      </c>
      <c r="G6" s="15">
        <f>20000</f>
        <v>20000</v>
      </c>
      <c r="H6" s="63" t="s">
        <v>112</v>
      </c>
      <c r="I6" s="68" t="s">
        <v>514</v>
      </c>
      <c r="J6" s="77">
        <v>39082</v>
      </c>
      <c r="K6" s="75" t="s">
        <v>111</v>
      </c>
    </row>
    <row r="7" spans="1:11" ht="30" customHeight="1" x14ac:dyDescent="0.25">
      <c r="A7" s="82">
        <v>2007</v>
      </c>
      <c r="B7" s="82">
        <v>2006</v>
      </c>
      <c r="C7" s="66">
        <f t="shared" si="0"/>
        <v>0.5</v>
      </c>
      <c r="D7" s="15">
        <f>12000</f>
        <v>12000</v>
      </c>
      <c r="E7" s="15">
        <f>1500</f>
        <v>1500</v>
      </c>
      <c r="F7" s="15">
        <f>15000</f>
        <v>15000</v>
      </c>
      <c r="G7" s="15">
        <f>20000</f>
        <v>20000</v>
      </c>
    </row>
    <row r="8" spans="1:11" ht="30" customHeight="1" x14ac:dyDescent="0.25">
      <c r="A8" s="82">
        <v>2006</v>
      </c>
      <c r="B8" s="82">
        <v>2005</v>
      </c>
      <c r="C8" s="66">
        <f t="shared" si="0"/>
        <v>0.5</v>
      </c>
      <c r="D8" s="15">
        <f>12000</f>
        <v>12000</v>
      </c>
      <c r="E8" s="15">
        <f>1500</f>
        <v>1500</v>
      </c>
      <c r="F8" s="15">
        <f>15000</f>
        <v>15000</v>
      </c>
      <c r="G8" s="15">
        <f>20000</f>
        <v>20000</v>
      </c>
    </row>
    <row r="9" spans="1:11" ht="30" customHeight="1" x14ac:dyDescent="0.25">
      <c r="A9" s="82">
        <v>2005</v>
      </c>
      <c r="B9" s="82">
        <v>2004</v>
      </c>
      <c r="C9" s="66">
        <f t="shared" si="0"/>
        <v>0.5</v>
      </c>
      <c r="D9" s="15">
        <v>10000</v>
      </c>
      <c r="E9" s="133"/>
      <c r="F9" s="133"/>
      <c r="G9" s="15">
        <v>13800</v>
      </c>
      <c r="H9" s="63" t="s">
        <v>109</v>
      </c>
      <c r="I9" s="63" t="s">
        <v>103</v>
      </c>
      <c r="J9" s="52">
        <v>38352</v>
      </c>
    </row>
    <row r="10" spans="1:11" ht="30" customHeight="1" x14ac:dyDescent="0.25">
      <c r="A10" s="82">
        <v>2004</v>
      </c>
      <c r="B10" s="82">
        <v>2003</v>
      </c>
      <c r="C10" s="66">
        <f t="shared" si="0"/>
        <v>0.5</v>
      </c>
      <c r="D10" s="15">
        <v>10000</v>
      </c>
      <c r="E10" s="133"/>
      <c r="F10" s="133"/>
      <c r="G10" s="15">
        <v>13800</v>
      </c>
      <c r="H10" s="63" t="s">
        <v>108</v>
      </c>
      <c r="I10" s="63" t="s">
        <v>104</v>
      </c>
      <c r="J10" s="52">
        <v>37621</v>
      </c>
    </row>
    <row r="11" spans="1:11" ht="30" customHeight="1" x14ac:dyDescent="0.25">
      <c r="A11" s="82">
        <v>2003</v>
      </c>
      <c r="B11" s="82">
        <v>2002</v>
      </c>
      <c r="C11" s="66">
        <f t="shared" si="0"/>
        <v>0.5</v>
      </c>
      <c r="D11" s="15">
        <v>7400</v>
      </c>
      <c r="E11" s="133"/>
      <c r="F11" s="133"/>
      <c r="G11" s="15">
        <v>13800</v>
      </c>
      <c r="H11" s="63" t="s">
        <v>108</v>
      </c>
      <c r="I11" s="63" t="s">
        <v>104</v>
      </c>
      <c r="J11" s="52">
        <v>37621</v>
      </c>
    </row>
    <row r="12" spans="1:11" ht="30" customHeight="1" x14ac:dyDescent="0.25">
      <c r="A12" s="82">
        <v>2002</v>
      </c>
      <c r="B12" s="82">
        <v>2001</v>
      </c>
      <c r="C12" s="66">
        <f t="shared" si="0"/>
        <v>0.5</v>
      </c>
      <c r="D12" s="15">
        <v>6900</v>
      </c>
      <c r="E12" s="133"/>
      <c r="F12" s="133"/>
      <c r="G12" s="15">
        <v>13800</v>
      </c>
    </row>
    <row r="13" spans="1:11" ht="30" customHeight="1" x14ac:dyDescent="0.25">
      <c r="A13" s="82">
        <v>2001</v>
      </c>
      <c r="B13" s="82">
        <v>2000</v>
      </c>
      <c r="C13" s="66">
        <f>50%</f>
        <v>0.5</v>
      </c>
      <c r="D13" s="19">
        <v>45000</v>
      </c>
      <c r="E13" s="134"/>
      <c r="F13" s="134"/>
      <c r="G13" s="19">
        <v>90000</v>
      </c>
    </row>
    <row r="14" spans="1:11" ht="30" customHeight="1" x14ac:dyDescent="0.25">
      <c r="A14" s="82">
        <v>2000</v>
      </c>
      <c r="B14" s="82">
        <v>1999</v>
      </c>
      <c r="C14" s="66">
        <f>50%</f>
        <v>0.5</v>
      </c>
      <c r="D14" s="19">
        <v>45000</v>
      </c>
      <c r="E14" s="134"/>
      <c r="F14" s="134"/>
      <c r="G14" s="19">
        <v>90000</v>
      </c>
    </row>
    <row r="15" spans="1:11" ht="30" customHeight="1" x14ac:dyDescent="0.25">
      <c r="A15" s="82">
        <v>1999</v>
      </c>
      <c r="B15" s="82">
        <v>1998</v>
      </c>
      <c r="C15" s="66">
        <f>50%</f>
        <v>0.5</v>
      </c>
      <c r="D15" s="19">
        <v>45000</v>
      </c>
      <c r="E15" s="134"/>
      <c r="F15" s="134"/>
      <c r="G15" s="19">
        <v>90000</v>
      </c>
      <c r="K15" s="76" t="s">
        <v>517</v>
      </c>
    </row>
    <row r="16" spans="1:11" ht="30" customHeight="1" x14ac:dyDescent="0.25">
      <c r="A16" s="82">
        <v>1998</v>
      </c>
      <c r="B16" s="82">
        <v>1997</v>
      </c>
      <c r="C16" s="66">
        <f>50%</f>
        <v>0.5</v>
      </c>
      <c r="D16" s="19">
        <v>45000</v>
      </c>
      <c r="E16" s="134"/>
      <c r="F16" s="134"/>
      <c r="G16" s="19">
        <v>90000</v>
      </c>
    </row>
    <row r="17" spans="1:11" ht="30" customHeight="1" x14ac:dyDescent="0.25">
      <c r="A17" s="82">
        <v>1997</v>
      </c>
      <c r="B17" s="82">
        <v>1996</v>
      </c>
      <c r="C17" s="66">
        <f>50%</f>
        <v>0.5</v>
      </c>
      <c r="D17" s="19">
        <v>90000</v>
      </c>
      <c r="E17" s="134"/>
      <c r="F17" s="134"/>
      <c r="G17" s="134"/>
    </row>
    <row r="18" spans="1:11" ht="30" customHeight="1" x14ac:dyDescent="0.25">
      <c r="A18" s="82">
        <v>1996</v>
      </c>
      <c r="B18" s="82">
        <v>1995</v>
      </c>
      <c r="C18" s="66">
        <f>50%</f>
        <v>0.5</v>
      </c>
      <c r="D18" s="19">
        <v>90000</v>
      </c>
      <c r="E18" s="134"/>
      <c r="F18" s="134"/>
      <c r="G18" s="134"/>
    </row>
    <row r="19" spans="1:11" ht="30" customHeight="1" x14ac:dyDescent="0.25">
      <c r="A19" s="82">
        <v>1995</v>
      </c>
      <c r="B19" s="82">
        <v>1994</v>
      </c>
      <c r="C19" s="66">
        <f>50%</f>
        <v>0.5</v>
      </c>
      <c r="D19" s="19">
        <f>26000</f>
        <v>26000</v>
      </c>
      <c r="E19" s="131"/>
      <c r="F19" s="131"/>
      <c r="G19" s="131"/>
    </row>
    <row r="20" spans="1:11" ht="30" customHeight="1" x14ac:dyDescent="0.25">
      <c r="A20" s="82">
        <v>1994</v>
      </c>
      <c r="B20" s="82">
        <v>1993</v>
      </c>
      <c r="C20" s="66">
        <f>50%</f>
        <v>0.5</v>
      </c>
      <c r="D20" s="19">
        <f>26000</f>
        <v>26000</v>
      </c>
      <c r="E20" s="131"/>
      <c r="F20" s="131"/>
      <c r="G20" s="131"/>
    </row>
    <row r="21" spans="1:11" ht="30" customHeight="1" x14ac:dyDescent="0.25">
      <c r="A21" s="82">
        <v>1993</v>
      </c>
      <c r="B21" s="82">
        <v>1992</v>
      </c>
      <c r="C21" s="66">
        <f>50%</f>
        <v>0.5</v>
      </c>
      <c r="D21" s="19">
        <f>25000</f>
        <v>25000</v>
      </c>
      <c r="E21" s="166"/>
      <c r="F21" s="166"/>
      <c r="G21" s="166"/>
    </row>
    <row r="22" spans="1:11" ht="30" customHeight="1" x14ac:dyDescent="0.25">
      <c r="A22" s="82">
        <v>1992</v>
      </c>
      <c r="B22" s="82">
        <v>1991</v>
      </c>
      <c r="C22" s="66">
        <f>50%</f>
        <v>0.5</v>
      </c>
      <c r="D22" s="19">
        <f>25000</f>
        <v>25000</v>
      </c>
      <c r="E22" s="166"/>
      <c r="F22" s="166"/>
      <c r="G22" s="166"/>
      <c r="K22" s="310" t="s">
        <v>114</v>
      </c>
    </row>
    <row r="23" spans="1:11" ht="30" customHeight="1" x14ac:dyDescent="0.25">
      <c r="A23" s="82">
        <v>1991</v>
      </c>
      <c r="B23" s="82">
        <v>1990</v>
      </c>
      <c r="K23" s="310"/>
    </row>
    <row r="24" spans="1:11" ht="30" customHeight="1" x14ac:dyDescent="0.25">
      <c r="A24" s="82">
        <v>1990</v>
      </c>
      <c r="B24" s="82">
        <v>1989</v>
      </c>
      <c r="K24" s="76" t="s">
        <v>299</v>
      </c>
    </row>
    <row r="25" spans="1:11" ht="30" customHeight="1" x14ac:dyDescent="0.25">
      <c r="A25" s="82">
        <v>1989</v>
      </c>
      <c r="B25" s="82">
        <v>1988</v>
      </c>
    </row>
    <row r="26" spans="1:11" ht="30" customHeight="1" x14ac:dyDescent="0.25">
      <c r="A26" s="82">
        <v>1988</v>
      </c>
      <c r="B26" s="82">
        <v>1987</v>
      </c>
    </row>
    <row r="27" spans="1:11" ht="30" customHeight="1" x14ac:dyDescent="0.25">
      <c r="A27" s="82">
        <v>1987</v>
      </c>
      <c r="B27" s="82">
        <v>1986</v>
      </c>
    </row>
    <row r="28" spans="1:11" ht="30" customHeight="1" x14ac:dyDescent="0.25">
      <c r="A28" s="82">
        <v>1986</v>
      </c>
      <c r="B28" s="82">
        <v>1985</v>
      </c>
    </row>
    <row r="29" spans="1:11" ht="30" customHeight="1" x14ac:dyDescent="0.25">
      <c r="A29" s="82">
        <v>1985</v>
      </c>
      <c r="B29" s="82">
        <v>1984</v>
      </c>
    </row>
    <row r="30" spans="1:11" ht="30" customHeight="1" x14ac:dyDescent="0.25">
      <c r="A30" s="82">
        <v>1984</v>
      </c>
      <c r="B30" s="82">
        <v>1983</v>
      </c>
    </row>
    <row r="31" spans="1:11" ht="30" customHeight="1" x14ac:dyDescent="0.25">
      <c r="A31" s="82">
        <v>1983</v>
      </c>
      <c r="B31" s="82">
        <v>1982</v>
      </c>
    </row>
    <row r="32" spans="1:11" ht="30" customHeight="1" x14ac:dyDescent="0.25">
      <c r="A32" s="82">
        <v>1982</v>
      </c>
      <c r="B32" s="82">
        <v>1981</v>
      </c>
    </row>
    <row r="87" spans="1:2" ht="30" customHeight="1" x14ac:dyDescent="0.25">
      <c r="A87" s="147"/>
      <c r="B87" s="147"/>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sheetData>
  <mergeCells count="1">
    <mergeCell ref="K22:K2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opLeftCell="A2" workbookViewId="0">
      <selection activeCell="E8" sqref="E8"/>
    </sheetView>
  </sheetViews>
  <sheetFormatPr baseColWidth="10" defaultRowHeight="30" customHeight="1" x14ac:dyDescent="0.25"/>
  <cols>
    <col min="3" max="3" width="20.28515625" customWidth="1"/>
    <col min="4" max="4" width="20.140625" customWidth="1"/>
    <col min="5" max="5" width="38.7109375" customWidth="1"/>
    <col min="6" max="6" width="14.7109375" customWidth="1"/>
    <col min="7" max="7" width="69.42578125" customWidth="1"/>
  </cols>
  <sheetData>
    <row r="1" spans="1:7" ht="30" hidden="1" customHeight="1" x14ac:dyDescent="0.25">
      <c r="A1" s="4" t="s">
        <v>221</v>
      </c>
      <c r="B1" s="4" t="s">
        <v>222</v>
      </c>
      <c r="C1" s="225" t="s">
        <v>290</v>
      </c>
      <c r="D1" s="225" t="s">
        <v>291</v>
      </c>
      <c r="E1" s="4" t="s">
        <v>260</v>
      </c>
      <c r="F1" s="4" t="s">
        <v>4</v>
      </c>
      <c r="G1" s="5" t="s">
        <v>5</v>
      </c>
    </row>
    <row r="2" spans="1:7" ht="48.75" customHeight="1" x14ac:dyDescent="0.25">
      <c r="A2" s="4" t="s">
        <v>221</v>
      </c>
      <c r="B2" s="4" t="s">
        <v>222</v>
      </c>
      <c r="C2" s="264" t="s">
        <v>518</v>
      </c>
      <c r="D2" s="264" t="s">
        <v>519</v>
      </c>
      <c r="E2" s="4" t="s">
        <v>260</v>
      </c>
      <c r="F2" s="4" t="s">
        <v>4</v>
      </c>
      <c r="G2" s="5" t="s">
        <v>5</v>
      </c>
    </row>
    <row r="3" spans="1:7" ht="30" customHeight="1" x14ac:dyDescent="0.25">
      <c r="A3" s="82">
        <v>2011</v>
      </c>
      <c r="B3" s="82">
        <v>2010</v>
      </c>
      <c r="C3" s="66">
        <v>0.25</v>
      </c>
      <c r="D3" s="15">
        <v>30500</v>
      </c>
      <c r="E3" s="83"/>
      <c r="F3" s="52"/>
      <c r="G3" s="300"/>
    </row>
    <row r="4" spans="1:7" ht="30" customHeight="1" x14ac:dyDescent="0.25">
      <c r="A4" s="82">
        <v>2010</v>
      </c>
      <c r="B4" s="82">
        <v>2009</v>
      </c>
      <c r="C4" s="66">
        <v>0.25</v>
      </c>
      <c r="D4" s="15">
        <v>30500</v>
      </c>
      <c r="E4" s="84"/>
      <c r="F4" s="52"/>
      <c r="G4" s="300"/>
    </row>
    <row r="5" spans="1:7" ht="30" customHeight="1" x14ac:dyDescent="0.25">
      <c r="A5" s="82">
        <v>2009</v>
      </c>
      <c r="B5" s="82">
        <v>2008</v>
      </c>
      <c r="C5" s="66">
        <v>0.25</v>
      </c>
      <c r="D5" s="15">
        <v>30500</v>
      </c>
      <c r="E5" s="83"/>
      <c r="F5" s="52"/>
      <c r="G5" s="61"/>
    </row>
    <row r="6" spans="1:7" ht="30" customHeight="1" x14ac:dyDescent="0.25">
      <c r="A6" s="82">
        <v>2008</v>
      </c>
      <c r="B6" s="82">
        <v>2007</v>
      </c>
      <c r="C6" s="66">
        <v>0.25</v>
      </c>
      <c r="D6" s="15">
        <v>30500</v>
      </c>
      <c r="E6" s="85"/>
      <c r="F6" s="52"/>
      <c r="G6" s="61"/>
    </row>
    <row r="7" spans="1:7" ht="30" customHeight="1" x14ac:dyDescent="0.25">
      <c r="A7" s="82">
        <v>2007</v>
      </c>
      <c r="B7" s="82">
        <v>2006</v>
      </c>
      <c r="C7" s="66">
        <v>0.25</v>
      </c>
      <c r="D7" s="15">
        <v>30500</v>
      </c>
      <c r="E7" s="94"/>
      <c r="F7" s="52"/>
      <c r="G7" s="54"/>
    </row>
    <row r="8" spans="1:7" ht="30" customHeight="1" x14ac:dyDescent="0.25">
      <c r="A8" s="82">
        <v>2006</v>
      </c>
      <c r="B8" s="82">
        <v>2005</v>
      </c>
      <c r="C8" s="66">
        <v>0.25</v>
      </c>
      <c r="D8" s="15">
        <v>30500</v>
      </c>
      <c r="E8" s="83"/>
      <c r="F8" s="52"/>
      <c r="G8" s="61"/>
    </row>
    <row r="9" spans="1:7" ht="30" customHeight="1" x14ac:dyDescent="0.25">
      <c r="A9" s="82">
        <v>2005</v>
      </c>
      <c r="B9" s="82">
        <v>2004</v>
      </c>
      <c r="C9" s="66">
        <v>0.25</v>
      </c>
      <c r="D9" s="15">
        <v>30500</v>
      </c>
      <c r="E9" s="88"/>
      <c r="F9" s="52"/>
      <c r="G9" s="61"/>
    </row>
    <row r="10" spans="1:7" ht="30" customHeight="1" x14ac:dyDescent="0.25">
      <c r="A10" s="82">
        <v>2004</v>
      </c>
      <c r="B10" s="82">
        <v>2003</v>
      </c>
      <c r="C10" s="66">
        <v>0.25</v>
      </c>
      <c r="D10" s="15">
        <v>30500</v>
      </c>
      <c r="E10" s="83"/>
      <c r="F10" s="52"/>
      <c r="G10" s="95"/>
    </row>
    <row r="11" spans="1:7" ht="30" customHeight="1" x14ac:dyDescent="0.25">
      <c r="A11" s="82">
        <v>2003</v>
      </c>
      <c r="B11" s="82">
        <v>2002</v>
      </c>
      <c r="C11" s="66">
        <v>0.25</v>
      </c>
      <c r="D11" s="15">
        <v>30500</v>
      </c>
      <c r="E11" s="83"/>
      <c r="F11" s="52"/>
      <c r="G11" s="61"/>
    </row>
    <row r="12" spans="1:7" ht="30" customHeight="1" x14ac:dyDescent="0.25">
      <c r="A12" s="82">
        <v>2002</v>
      </c>
      <c r="B12" s="82">
        <v>2001</v>
      </c>
      <c r="C12" s="66">
        <v>0.25</v>
      </c>
      <c r="D12" s="15">
        <v>30500</v>
      </c>
      <c r="E12" s="88"/>
      <c r="F12" s="52"/>
      <c r="G12" s="61"/>
    </row>
    <row r="13" spans="1:7" ht="30" customHeight="1" x14ac:dyDescent="0.25">
      <c r="A13" s="82">
        <v>2001</v>
      </c>
      <c r="B13" s="82">
        <v>2000</v>
      </c>
      <c r="C13" s="66">
        <v>0.25</v>
      </c>
      <c r="D13" s="19">
        <v>200000</v>
      </c>
      <c r="E13" s="83"/>
      <c r="F13" s="52"/>
      <c r="G13" s="36"/>
    </row>
    <row r="14" spans="1:7" ht="30" customHeight="1" x14ac:dyDescent="0.25">
      <c r="A14" s="82">
        <v>2000</v>
      </c>
      <c r="B14" s="82">
        <v>1999</v>
      </c>
      <c r="C14" s="132"/>
      <c r="D14" s="132"/>
      <c r="E14" s="63"/>
      <c r="F14" s="52"/>
      <c r="G14" s="70"/>
    </row>
    <row r="15" spans="1:7" ht="30" customHeight="1" x14ac:dyDescent="0.25">
      <c r="A15" s="82">
        <v>1999</v>
      </c>
      <c r="B15" s="82">
        <v>1998</v>
      </c>
      <c r="C15" s="132"/>
      <c r="D15" s="132"/>
      <c r="E15" s="63"/>
      <c r="F15" s="52"/>
      <c r="G15" s="80"/>
    </row>
    <row r="16" spans="1:7" ht="30" customHeight="1" x14ac:dyDescent="0.25">
      <c r="A16" s="82">
        <v>1998</v>
      </c>
      <c r="B16" s="82">
        <v>1997</v>
      </c>
      <c r="C16" s="132"/>
      <c r="D16" s="132"/>
      <c r="E16" s="63"/>
      <c r="F16" s="52"/>
      <c r="G16" s="80"/>
    </row>
    <row r="17" spans="1:7" ht="30" customHeight="1" x14ac:dyDescent="0.25">
      <c r="A17" s="82">
        <v>1997</v>
      </c>
      <c r="B17" s="82">
        <v>1996</v>
      </c>
      <c r="C17" s="132"/>
      <c r="D17" s="132"/>
      <c r="E17" s="68"/>
      <c r="F17" s="52"/>
      <c r="G17" s="70"/>
    </row>
    <row r="18" spans="1:7" ht="30" customHeight="1" x14ac:dyDescent="0.25">
      <c r="A18" s="82">
        <v>1996</v>
      </c>
      <c r="B18" s="82">
        <v>1995</v>
      </c>
      <c r="C18" s="132"/>
      <c r="D18" s="132"/>
      <c r="E18" s="68"/>
      <c r="F18" s="81"/>
      <c r="G18" s="70"/>
    </row>
    <row r="19" spans="1:7" ht="30" customHeight="1" x14ac:dyDescent="0.25">
      <c r="A19" s="82">
        <v>1995</v>
      </c>
      <c r="B19" s="82">
        <v>1994</v>
      </c>
      <c r="C19" s="132"/>
      <c r="D19" s="132"/>
      <c r="E19" s="68"/>
      <c r="F19" s="81"/>
      <c r="G19" s="70"/>
    </row>
    <row r="20" spans="1:7" ht="30" customHeight="1" x14ac:dyDescent="0.25">
      <c r="A20" s="82">
        <v>1994</v>
      </c>
      <c r="B20" s="82">
        <v>1993</v>
      </c>
      <c r="C20" s="36"/>
      <c r="D20" s="36"/>
      <c r="E20" s="71"/>
      <c r="F20" s="62"/>
      <c r="G20" s="70"/>
    </row>
    <row r="21" spans="1:7" ht="30" customHeight="1" x14ac:dyDescent="0.25">
      <c r="A21" s="82">
        <v>1993</v>
      </c>
      <c r="B21" s="82">
        <v>1992</v>
      </c>
      <c r="C21" s="36"/>
      <c r="D21" s="36"/>
      <c r="E21" s="71"/>
      <c r="F21" s="62"/>
      <c r="G21" s="70"/>
    </row>
    <row r="22" spans="1:7" ht="30" customHeight="1" x14ac:dyDescent="0.25">
      <c r="A22" s="82">
        <v>1992</v>
      </c>
      <c r="B22" s="82">
        <v>1991</v>
      </c>
      <c r="C22" s="36"/>
      <c r="D22" s="36"/>
      <c r="E22" s="36"/>
      <c r="F22" s="36"/>
      <c r="G22" s="36"/>
    </row>
    <row r="23" spans="1:7" ht="30" customHeight="1" x14ac:dyDescent="0.25">
      <c r="A23" s="82">
        <v>1991</v>
      </c>
      <c r="B23" s="82">
        <v>1990</v>
      </c>
      <c r="C23" s="36"/>
      <c r="D23" s="36"/>
      <c r="E23" s="36"/>
      <c r="F23" s="36"/>
      <c r="G23" s="36"/>
    </row>
    <row r="24" spans="1:7" ht="30" customHeight="1" x14ac:dyDescent="0.25">
      <c r="A24" s="82">
        <v>1990</v>
      </c>
      <c r="B24" s="82">
        <v>1989</v>
      </c>
      <c r="C24" s="36"/>
      <c r="D24" s="36"/>
      <c r="E24" s="36"/>
      <c r="F24" s="36"/>
      <c r="G24" s="36"/>
    </row>
    <row r="25" spans="1:7" ht="30" customHeight="1" x14ac:dyDescent="0.25">
      <c r="A25" s="82">
        <v>1989</v>
      </c>
      <c r="B25" s="82">
        <v>1988</v>
      </c>
      <c r="C25" s="36"/>
      <c r="D25" s="36"/>
      <c r="E25" s="36"/>
      <c r="F25" s="36"/>
      <c r="G25" s="36"/>
    </row>
    <row r="26" spans="1:7" ht="30" customHeight="1" x14ac:dyDescent="0.25">
      <c r="A26" s="82">
        <v>1988</v>
      </c>
      <c r="B26" s="82">
        <v>1987</v>
      </c>
      <c r="C26" s="36"/>
      <c r="D26" s="36"/>
      <c r="E26" s="36"/>
      <c r="F26" s="36"/>
      <c r="G26" s="36"/>
    </row>
    <row r="27" spans="1:7" ht="30" customHeight="1" x14ac:dyDescent="0.25">
      <c r="A27" s="82">
        <v>1987</v>
      </c>
      <c r="B27" s="82">
        <v>1986</v>
      </c>
      <c r="C27" s="36"/>
      <c r="D27" s="36"/>
      <c r="E27" s="36"/>
      <c r="F27" s="36"/>
      <c r="G27" s="36"/>
    </row>
    <row r="28" spans="1:7" ht="30" customHeight="1" x14ac:dyDescent="0.25">
      <c r="A28" s="82">
        <v>1986</v>
      </c>
      <c r="B28" s="82">
        <v>1985</v>
      </c>
      <c r="C28" s="35"/>
      <c r="D28" s="35"/>
      <c r="E28" s="35"/>
      <c r="F28" s="35"/>
      <c r="G28" s="35"/>
    </row>
    <row r="29" spans="1:7" ht="30" customHeight="1" x14ac:dyDescent="0.25">
      <c r="A29" s="82">
        <v>1985</v>
      </c>
      <c r="B29" s="82">
        <v>1984</v>
      </c>
      <c r="C29" s="35"/>
      <c r="D29" s="35"/>
      <c r="E29" s="35"/>
      <c r="F29" s="35"/>
      <c r="G29" s="35"/>
    </row>
    <row r="30" spans="1:7" ht="30" customHeight="1" x14ac:dyDescent="0.25">
      <c r="A30" s="82">
        <v>1984</v>
      </c>
      <c r="B30" s="82">
        <v>1983</v>
      </c>
      <c r="C30" s="35"/>
      <c r="D30" s="35"/>
      <c r="E30" s="35"/>
      <c r="F30" s="35"/>
      <c r="G30" s="35"/>
    </row>
    <row r="31" spans="1:7" ht="30" customHeight="1" x14ac:dyDescent="0.25">
      <c r="A31" s="82">
        <v>1983</v>
      </c>
      <c r="B31" s="82">
        <v>1982</v>
      </c>
      <c r="C31" s="35"/>
      <c r="D31" s="35"/>
      <c r="E31" s="35"/>
      <c r="F31" s="35"/>
      <c r="G31" s="35"/>
    </row>
    <row r="32" spans="1:7" ht="30" customHeight="1" x14ac:dyDescent="0.25">
      <c r="A32" s="82">
        <v>1982</v>
      </c>
      <c r="B32" s="82">
        <v>1981</v>
      </c>
      <c r="C32" s="35"/>
      <c r="D32" s="35"/>
      <c r="E32" s="35"/>
      <c r="F32" s="35"/>
      <c r="G32" s="35"/>
    </row>
  </sheetData>
  <mergeCells count="1">
    <mergeCell ref="G3:G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workbookViewId="0">
      <pane xSplit="2" ySplit="2" topLeftCell="C3" activePane="bottomRight" state="frozen"/>
      <selection pane="topRight" activeCell="B1" sqref="B1"/>
      <selection pane="bottomLeft" activeCell="A2" sqref="A2"/>
      <selection pane="bottomRight" activeCell="F17" sqref="F17"/>
    </sheetView>
  </sheetViews>
  <sheetFormatPr baseColWidth="10" defaultColWidth="15.7109375" defaultRowHeight="30" customHeight="1" x14ac:dyDescent="0.25"/>
  <cols>
    <col min="1" max="2" width="15.7109375" style="72" customWidth="1"/>
    <col min="3" max="3" width="21" style="35" customWidth="1"/>
    <col min="4" max="4" width="22" style="35" customWidth="1"/>
    <col min="5" max="5" width="22.140625" style="35" customWidth="1"/>
    <col min="6" max="6" width="42.85546875" style="35" customWidth="1"/>
    <col min="7" max="7" width="15.140625" style="35" customWidth="1"/>
    <col min="8" max="8" width="100.140625" style="35" customWidth="1"/>
    <col min="9" max="16384" width="15.7109375" style="35"/>
  </cols>
  <sheetData>
    <row r="1" spans="1:8" ht="30" hidden="1" customHeight="1" x14ac:dyDescent="0.25">
      <c r="A1" s="4" t="s">
        <v>221</v>
      </c>
      <c r="B1" s="4" t="s">
        <v>222</v>
      </c>
      <c r="C1" s="28" t="s">
        <v>190</v>
      </c>
      <c r="D1" s="28" t="s">
        <v>191</v>
      </c>
      <c r="E1" s="28" t="s">
        <v>192</v>
      </c>
      <c r="F1" s="4" t="s">
        <v>179</v>
      </c>
      <c r="G1" s="4" t="s">
        <v>4</v>
      </c>
      <c r="H1" s="5" t="s">
        <v>5</v>
      </c>
    </row>
    <row r="2" spans="1:8" ht="65.25" customHeight="1" x14ac:dyDescent="0.25">
      <c r="A2" s="4" t="s">
        <v>221</v>
      </c>
      <c r="B2" s="4" t="s">
        <v>222</v>
      </c>
      <c r="C2" s="265" t="s">
        <v>520</v>
      </c>
      <c r="D2" s="265" t="s">
        <v>521</v>
      </c>
      <c r="E2" s="265" t="s">
        <v>522</v>
      </c>
      <c r="F2" s="4" t="s">
        <v>179</v>
      </c>
      <c r="G2" s="4" t="s">
        <v>4</v>
      </c>
      <c r="H2" s="5" t="s">
        <v>5</v>
      </c>
    </row>
    <row r="3" spans="1:8" s="72" customFormat="1" ht="30" customHeight="1" x14ac:dyDescent="0.25">
      <c r="A3" s="180">
        <v>2012</v>
      </c>
      <c r="B3" s="180">
        <v>2011</v>
      </c>
      <c r="C3" s="114">
        <v>0.22</v>
      </c>
      <c r="D3" s="114">
        <v>0.45</v>
      </c>
      <c r="E3" s="15">
        <v>10800</v>
      </c>
      <c r="F3" s="2"/>
      <c r="G3" s="52"/>
      <c r="H3" s="311" t="s">
        <v>523</v>
      </c>
    </row>
    <row r="4" spans="1:8" s="72" customFormat="1" ht="30" customHeight="1" x14ac:dyDescent="0.25">
      <c r="A4" s="82">
        <v>2011</v>
      </c>
      <c r="B4" s="82">
        <v>2010</v>
      </c>
      <c r="C4" s="66">
        <v>0.25</v>
      </c>
      <c r="D4" s="66">
        <v>0.5</v>
      </c>
      <c r="E4" s="15">
        <v>12000</v>
      </c>
      <c r="F4" s="2"/>
      <c r="G4" s="52"/>
      <c r="H4" s="311"/>
    </row>
    <row r="5" spans="1:8" s="72" customFormat="1" ht="30" customHeight="1" x14ac:dyDescent="0.25">
      <c r="A5" s="82">
        <v>2010</v>
      </c>
      <c r="B5" s="82">
        <v>2009</v>
      </c>
      <c r="C5" s="66">
        <v>0.25</v>
      </c>
      <c r="D5" s="66">
        <v>0.5</v>
      </c>
      <c r="E5" s="15">
        <v>12000</v>
      </c>
      <c r="F5" s="2"/>
      <c r="G5" s="52"/>
      <c r="H5" s="311"/>
    </row>
    <row r="6" spans="1:8" s="72" customFormat="1" ht="30" customHeight="1" x14ac:dyDescent="0.25">
      <c r="A6" s="82">
        <v>2009</v>
      </c>
      <c r="B6" s="82">
        <v>2008</v>
      </c>
      <c r="C6" s="66">
        <v>0.25</v>
      </c>
      <c r="D6" s="66">
        <v>0.5</v>
      </c>
      <c r="E6" s="15">
        <v>12000</v>
      </c>
      <c r="F6" s="2"/>
      <c r="G6" s="52"/>
      <c r="H6" s="311"/>
    </row>
    <row r="7" spans="1:8" s="72" customFormat="1" ht="30" customHeight="1" x14ac:dyDescent="0.25">
      <c r="A7" s="82">
        <v>2008</v>
      </c>
      <c r="B7" s="82">
        <v>2007</v>
      </c>
      <c r="C7" s="66">
        <v>0.25</v>
      </c>
      <c r="D7" s="66">
        <v>0.5</v>
      </c>
      <c r="E7" s="15">
        <v>12000</v>
      </c>
      <c r="F7" s="2"/>
      <c r="G7" s="52"/>
      <c r="H7" s="311"/>
    </row>
    <row r="8" spans="1:8" s="72" customFormat="1" ht="30" customHeight="1" x14ac:dyDescent="0.25">
      <c r="A8" s="82">
        <v>2007</v>
      </c>
      <c r="B8" s="82">
        <v>2006</v>
      </c>
      <c r="C8" s="66">
        <v>0.25</v>
      </c>
      <c r="D8" s="132"/>
      <c r="E8" s="15">
        <v>12000</v>
      </c>
      <c r="F8" s="94"/>
      <c r="G8" s="52"/>
      <c r="H8" s="96"/>
    </row>
    <row r="9" spans="1:8" s="72" customFormat="1" ht="30" customHeight="1" x14ac:dyDescent="0.25">
      <c r="A9" s="82">
        <v>2006</v>
      </c>
      <c r="B9" s="82">
        <v>2005</v>
      </c>
      <c r="C9" s="66">
        <v>0.25</v>
      </c>
      <c r="D9" s="166"/>
      <c r="E9" s="15">
        <v>12000</v>
      </c>
      <c r="F9" s="83"/>
      <c r="G9" s="52"/>
      <c r="H9" s="61"/>
    </row>
    <row r="10" spans="1:8" s="72" customFormat="1" ht="30" customHeight="1" x14ac:dyDescent="0.25">
      <c r="A10" s="82">
        <v>2005</v>
      </c>
      <c r="B10" s="82">
        <v>2004</v>
      </c>
      <c r="C10" s="66">
        <v>0.25</v>
      </c>
      <c r="D10" s="166"/>
      <c r="E10" s="15">
        <v>12000</v>
      </c>
      <c r="F10" s="88"/>
      <c r="G10" s="52"/>
      <c r="H10" s="61"/>
    </row>
    <row r="11" spans="1:8" s="72" customFormat="1" ht="30" customHeight="1" x14ac:dyDescent="0.25">
      <c r="A11" s="82">
        <v>2004</v>
      </c>
      <c r="B11" s="82">
        <v>2003</v>
      </c>
      <c r="C11" s="66">
        <v>0.25</v>
      </c>
      <c r="D11" s="170"/>
      <c r="E11" s="15">
        <v>12000</v>
      </c>
      <c r="F11" s="102"/>
      <c r="G11" s="52"/>
      <c r="H11" s="95"/>
    </row>
    <row r="12" spans="1:8" s="72" customFormat="1" ht="30" customHeight="1" x14ac:dyDescent="0.25">
      <c r="A12" s="82">
        <v>2003</v>
      </c>
      <c r="B12" s="82">
        <v>2002</v>
      </c>
      <c r="C12" s="66">
        <v>0.25</v>
      </c>
      <c r="D12" s="170"/>
      <c r="E12" s="15">
        <v>12000</v>
      </c>
      <c r="F12" s="2"/>
      <c r="G12" s="52"/>
      <c r="H12" s="61"/>
    </row>
    <row r="13" spans="1:8" s="72" customFormat="1" ht="30" customHeight="1" x14ac:dyDescent="0.25">
      <c r="A13" s="82">
        <v>2002</v>
      </c>
      <c r="B13" s="82">
        <v>2001</v>
      </c>
      <c r="C13" s="66">
        <v>0.25</v>
      </c>
      <c r="D13" s="170"/>
      <c r="E13" s="15">
        <v>11434</v>
      </c>
      <c r="F13" s="88"/>
      <c r="G13" s="52"/>
      <c r="H13" s="61"/>
    </row>
    <row r="14" spans="1:8" s="73" customFormat="1" ht="30" customHeight="1" x14ac:dyDescent="0.25">
      <c r="A14" s="82">
        <v>2001</v>
      </c>
      <c r="B14" s="82">
        <v>2000</v>
      </c>
      <c r="C14" s="66">
        <v>0.25</v>
      </c>
      <c r="D14" s="170"/>
      <c r="E14" s="17">
        <v>75000</v>
      </c>
      <c r="F14" s="83"/>
      <c r="G14" s="52"/>
      <c r="H14" s="36"/>
    </row>
    <row r="15" spans="1:8" s="73" customFormat="1" ht="30" customHeight="1" x14ac:dyDescent="0.25">
      <c r="A15" s="82">
        <v>2000</v>
      </c>
      <c r="B15" s="82">
        <v>1999</v>
      </c>
      <c r="C15" s="66">
        <v>0.25</v>
      </c>
      <c r="D15" s="170"/>
      <c r="E15" s="17">
        <v>75000</v>
      </c>
      <c r="F15" s="63"/>
      <c r="G15" s="52"/>
      <c r="H15" s="70"/>
    </row>
    <row r="16" spans="1:8" s="73" customFormat="1" ht="30" customHeight="1" x14ac:dyDescent="0.25">
      <c r="A16" s="82">
        <v>1999</v>
      </c>
      <c r="B16" s="82">
        <v>1998</v>
      </c>
      <c r="C16" s="66">
        <v>0.25</v>
      </c>
      <c r="D16" s="171"/>
      <c r="E16" s="17">
        <v>75000</v>
      </c>
      <c r="F16" s="63"/>
      <c r="G16" s="52"/>
      <c r="H16" s="80"/>
    </row>
    <row r="17" spans="1:8" s="73" customFormat="1" ht="30" customHeight="1" x14ac:dyDescent="0.25">
      <c r="A17" s="82">
        <v>1998</v>
      </c>
      <c r="B17" s="82">
        <v>1997</v>
      </c>
      <c r="C17" s="66">
        <v>0.25</v>
      </c>
      <c r="D17" s="171"/>
      <c r="E17" s="17">
        <v>75000</v>
      </c>
      <c r="F17" s="63"/>
      <c r="G17" s="52"/>
      <c r="H17" s="80"/>
    </row>
    <row r="18" spans="1:8" s="73" customFormat="1" ht="30" customHeight="1" x14ac:dyDescent="0.25">
      <c r="A18" s="82">
        <v>1997</v>
      </c>
      <c r="B18" s="82">
        <v>1996</v>
      </c>
      <c r="C18" s="132"/>
      <c r="D18" s="134"/>
      <c r="E18" s="132"/>
      <c r="F18" s="68"/>
      <c r="G18" s="52"/>
      <c r="H18" s="70"/>
    </row>
    <row r="19" spans="1:8" s="73" customFormat="1" ht="30" customHeight="1" x14ac:dyDescent="0.25">
      <c r="A19" s="82">
        <v>1996</v>
      </c>
      <c r="B19" s="82">
        <v>1995</v>
      </c>
      <c r="C19" s="132"/>
      <c r="D19" s="134"/>
      <c r="E19" s="132"/>
      <c r="F19" s="68"/>
      <c r="G19" s="81"/>
      <c r="H19" s="70"/>
    </row>
    <row r="20" spans="1:8" s="73" customFormat="1" ht="30" customHeight="1" x14ac:dyDescent="0.25">
      <c r="A20" s="82">
        <v>1995</v>
      </c>
      <c r="B20" s="82">
        <v>1994</v>
      </c>
      <c r="C20" s="132"/>
      <c r="D20" s="134"/>
      <c r="E20" s="132"/>
      <c r="F20" s="68"/>
      <c r="G20" s="81"/>
      <c r="H20" s="70"/>
    </row>
    <row r="21" spans="1:8" ht="30" customHeight="1" x14ac:dyDescent="0.25">
      <c r="A21" s="82">
        <v>1994</v>
      </c>
      <c r="B21" s="82">
        <v>1993</v>
      </c>
      <c r="C21" s="36"/>
      <c r="D21" s="36"/>
      <c r="E21" s="36"/>
      <c r="F21" s="71"/>
      <c r="G21" s="62"/>
      <c r="H21" s="70"/>
    </row>
    <row r="22" spans="1:8" ht="30" customHeight="1" x14ac:dyDescent="0.25">
      <c r="A22" s="82">
        <v>1993</v>
      </c>
      <c r="B22" s="82">
        <v>1992</v>
      </c>
      <c r="C22" s="36"/>
      <c r="D22" s="36"/>
      <c r="E22" s="36"/>
      <c r="F22" s="71"/>
      <c r="G22" s="62"/>
      <c r="H22" s="70"/>
    </row>
    <row r="23" spans="1:8" ht="30" customHeight="1" x14ac:dyDescent="0.25">
      <c r="A23" s="82">
        <v>1992</v>
      </c>
      <c r="B23" s="82">
        <v>1991</v>
      </c>
      <c r="C23" s="36"/>
      <c r="D23" s="36"/>
      <c r="E23" s="36"/>
      <c r="F23" s="36"/>
      <c r="G23" s="36"/>
      <c r="H23" s="36"/>
    </row>
    <row r="24" spans="1:8" ht="30" customHeight="1" x14ac:dyDescent="0.25">
      <c r="A24" s="82">
        <v>1991</v>
      </c>
      <c r="B24" s="82">
        <v>1990</v>
      </c>
      <c r="C24" s="36"/>
      <c r="D24" s="36"/>
      <c r="E24" s="36"/>
      <c r="F24" s="36"/>
      <c r="G24" s="36"/>
      <c r="H24" s="36"/>
    </row>
    <row r="25" spans="1:8" ht="30" customHeight="1" x14ac:dyDescent="0.25">
      <c r="A25" s="82">
        <v>1990</v>
      </c>
      <c r="B25" s="82">
        <v>1989</v>
      </c>
      <c r="C25" s="36"/>
      <c r="D25" s="36"/>
      <c r="E25" s="36"/>
      <c r="F25" s="36"/>
      <c r="G25" s="36"/>
      <c r="H25" s="36"/>
    </row>
    <row r="26" spans="1:8" ht="30" customHeight="1" x14ac:dyDescent="0.25">
      <c r="A26" s="82">
        <v>1989</v>
      </c>
      <c r="B26" s="82">
        <v>1988</v>
      </c>
      <c r="C26" s="36"/>
      <c r="D26" s="36"/>
      <c r="E26" s="36"/>
      <c r="F26" s="36"/>
      <c r="G26" s="36"/>
      <c r="H26" s="36"/>
    </row>
    <row r="27" spans="1:8" ht="30" customHeight="1" x14ac:dyDescent="0.25">
      <c r="A27" s="82">
        <v>1988</v>
      </c>
      <c r="B27" s="82">
        <v>1987</v>
      </c>
      <c r="C27" s="36"/>
      <c r="D27" s="36"/>
      <c r="E27" s="36"/>
      <c r="F27" s="36"/>
      <c r="G27" s="36"/>
      <c r="H27" s="36"/>
    </row>
    <row r="28" spans="1:8" ht="30" customHeight="1" x14ac:dyDescent="0.25">
      <c r="A28" s="82">
        <v>1987</v>
      </c>
      <c r="B28" s="82">
        <v>1986</v>
      </c>
      <c r="C28" s="36"/>
      <c r="D28" s="36"/>
      <c r="E28" s="36"/>
      <c r="F28" s="36"/>
      <c r="G28" s="36"/>
      <c r="H28" s="36"/>
    </row>
    <row r="29" spans="1:8" ht="30" customHeight="1" x14ac:dyDescent="0.25">
      <c r="A29" s="82">
        <v>1986</v>
      </c>
      <c r="B29" s="82">
        <v>1985</v>
      </c>
    </row>
    <row r="30" spans="1:8" ht="30" customHeight="1" x14ac:dyDescent="0.25">
      <c r="A30" s="82">
        <v>1985</v>
      </c>
      <c r="B30" s="82">
        <v>1984</v>
      </c>
    </row>
    <row r="31" spans="1:8" ht="30" customHeight="1" x14ac:dyDescent="0.25">
      <c r="A31" s="82">
        <v>1984</v>
      </c>
      <c r="B31" s="82">
        <v>1983</v>
      </c>
    </row>
    <row r="32" spans="1:8" ht="30" customHeight="1" x14ac:dyDescent="0.25">
      <c r="A32" s="82">
        <v>1983</v>
      </c>
      <c r="B32" s="82">
        <v>1982</v>
      </c>
    </row>
    <row r="33" spans="1:2" ht="30" customHeight="1" x14ac:dyDescent="0.25">
      <c r="A33" s="82">
        <v>1982</v>
      </c>
      <c r="B33" s="82">
        <v>1981</v>
      </c>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row r="92" spans="1:2" ht="30" customHeight="1" x14ac:dyDescent="0.25">
      <c r="A92" s="147"/>
      <c r="B92" s="147"/>
    </row>
  </sheetData>
  <mergeCells count="1">
    <mergeCell ref="H3:H7"/>
  </mergeCells>
  <hyperlinks>
    <hyperlink ref="F13" r:id="rId1" location="LEGIARTI000006212781" display="http://legifrance.gouv.fr/affichTexteArticle.do;jsessionid=74B6FCBBE75E37F0115D9428F2169E51.tpdjo12v_1?cidTexte=JORFTEXT000000596281&amp;idArticle=LEGIARTI000006212781&amp;dateTexte=20040531&amp;categorieLien=id - LEGIARTI000006212781"/>
  </hyperlinks>
  <pageMargins left="0.7" right="0.7" top="0.75" bottom="0.75" header="0.3" footer="0.3"/>
  <pageSetup paperSize="9"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workbookViewId="0">
      <pane xSplit="2" ySplit="2" topLeftCell="D6" activePane="bottomRight" state="frozen"/>
      <selection pane="topRight" activeCell="B1" sqref="B1"/>
      <selection pane="bottomLeft" activeCell="A2" sqref="A2"/>
      <selection pane="bottomRight" activeCell="G1" sqref="G1:G1048576"/>
    </sheetView>
  </sheetViews>
  <sheetFormatPr baseColWidth="10" defaultColWidth="15.7109375" defaultRowHeight="30" customHeight="1" x14ac:dyDescent="0.25"/>
  <cols>
    <col min="1" max="2" width="15.7109375" style="72" customWidth="1"/>
    <col min="3" max="3" width="20.42578125" style="35" customWidth="1"/>
    <col min="4" max="4" width="21.140625" style="35" customWidth="1"/>
    <col min="5" max="5" width="21" style="35" customWidth="1"/>
    <col min="6" max="6" width="23.42578125" style="35" customWidth="1"/>
    <col min="7" max="7" width="42.85546875" style="35" customWidth="1"/>
    <col min="8" max="8" width="16.42578125" style="35" customWidth="1"/>
    <col min="9" max="9" width="100.140625" style="35" customWidth="1"/>
    <col min="10" max="16384" width="15.7109375" style="35"/>
  </cols>
  <sheetData>
    <row r="1" spans="1:9" ht="30" hidden="1" customHeight="1" x14ac:dyDescent="0.25">
      <c r="A1" s="4" t="s">
        <v>221</v>
      </c>
      <c r="B1" s="4" t="s">
        <v>222</v>
      </c>
      <c r="C1" s="104" t="s">
        <v>136</v>
      </c>
      <c r="D1" s="104" t="s">
        <v>137</v>
      </c>
      <c r="E1" s="104" t="s">
        <v>138</v>
      </c>
      <c r="F1" s="104" t="s">
        <v>139</v>
      </c>
      <c r="G1" s="4" t="s">
        <v>179</v>
      </c>
      <c r="H1" s="4" t="s">
        <v>4</v>
      </c>
      <c r="I1" s="5" t="s">
        <v>5</v>
      </c>
    </row>
    <row r="2" spans="1:9" ht="61.5" customHeight="1" x14ac:dyDescent="0.25">
      <c r="A2" s="4" t="s">
        <v>221</v>
      </c>
      <c r="B2" s="4" t="s">
        <v>222</v>
      </c>
      <c r="C2" s="276" t="s">
        <v>524</v>
      </c>
      <c r="D2" s="276" t="s">
        <v>525</v>
      </c>
      <c r="E2" s="276" t="s">
        <v>526</v>
      </c>
      <c r="F2" s="276" t="s">
        <v>376</v>
      </c>
      <c r="G2" s="4" t="s">
        <v>179</v>
      </c>
      <c r="H2" s="4" t="s">
        <v>4</v>
      </c>
      <c r="I2" s="5" t="s">
        <v>5</v>
      </c>
    </row>
    <row r="3" spans="1:9" s="72" customFormat="1" ht="30" customHeight="1" x14ac:dyDescent="0.25">
      <c r="A3" s="82">
        <v>2012</v>
      </c>
      <c r="B3" s="82">
        <v>2011</v>
      </c>
      <c r="C3" s="42">
        <v>0.43</v>
      </c>
      <c r="D3" s="42">
        <v>0.36</v>
      </c>
      <c r="E3" s="15">
        <v>18000</v>
      </c>
      <c r="F3" s="66">
        <v>0.25</v>
      </c>
      <c r="G3" s="2"/>
      <c r="H3" s="52"/>
      <c r="I3" s="100" t="s">
        <v>528</v>
      </c>
    </row>
    <row r="4" spans="1:9" s="72" customFormat="1" ht="30" customHeight="1" x14ac:dyDescent="0.25">
      <c r="A4" s="82">
        <v>2011</v>
      </c>
      <c r="B4" s="82">
        <v>2010</v>
      </c>
      <c r="C4" s="114">
        <v>0.48</v>
      </c>
      <c r="D4" s="114">
        <v>0.4</v>
      </c>
      <c r="E4" s="15">
        <v>18000</v>
      </c>
      <c r="F4" s="66">
        <v>0.25</v>
      </c>
      <c r="G4" s="2"/>
      <c r="H4" s="52"/>
      <c r="I4" s="152"/>
    </row>
    <row r="5" spans="1:9" s="72" customFormat="1" ht="30" customHeight="1" x14ac:dyDescent="0.25">
      <c r="A5" s="82">
        <v>2010</v>
      </c>
      <c r="B5" s="82">
        <v>2009</v>
      </c>
      <c r="C5" s="66">
        <v>0.48</v>
      </c>
      <c r="D5" s="66">
        <v>0.4</v>
      </c>
      <c r="E5" s="15">
        <v>18000</v>
      </c>
      <c r="F5" s="66">
        <v>0.25</v>
      </c>
      <c r="G5" s="2"/>
      <c r="H5" s="52"/>
      <c r="I5" s="96" t="s">
        <v>527</v>
      </c>
    </row>
    <row r="6" spans="1:9" s="72" customFormat="1" ht="30" customHeight="1" x14ac:dyDescent="0.25">
      <c r="A6" s="82">
        <v>2009</v>
      </c>
      <c r="B6" s="82">
        <v>2008</v>
      </c>
      <c r="C6" s="66">
        <v>0.48</v>
      </c>
      <c r="D6" s="66">
        <v>0.4</v>
      </c>
      <c r="E6" s="15">
        <v>18000</v>
      </c>
      <c r="F6" s="66">
        <v>0.25</v>
      </c>
      <c r="G6" s="2"/>
      <c r="H6" s="52"/>
      <c r="I6" s="61"/>
    </row>
    <row r="7" spans="1:9" s="72" customFormat="1" ht="30" customHeight="1" x14ac:dyDescent="0.25">
      <c r="A7" s="82">
        <v>2008</v>
      </c>
      <c r="B7" s="82">
        <v>2007</v>
      </c>
      <c r="C7" s="66">
        <v>0.48</v>
      </c>
      <c r="D7" s="66">
        <v>0.4</v>
      </c>
      <c r="E7" s="15">
        <v>18000</v>
      </c>
      <c r="F7" s="66">
        <v>0.25</v>
      </c>
      <c r="G7" s="2"/>
      <c r="H7" s="52"/>
      <c r="I7" s="61"/>
    </row>
    <row r="8" spans="1:9" s="72" customFormat="1" ht="30" customHeight="1" x14ac:dyDescent="0.25">
      <c r="A8" s="82">
        <v>2007</v>
      </c>
      <c r="B8" s="82">
        <v>2006</v>
      </c>
      <c r="C8" s="66">
        <v>0.48</v>
      </c>
      <c r="D8" s="66">
        <v>0.4</v>
      </c>
      <c r="E8" s="15">
        <v>18000</v>
      </c>
      <c r="F8" s="66">
        <v>0.25</v>
      </c>
      <c r="G8" s="94"/>
      <c r="H8" s="52"/>
      <c r="I8" s="100" t="s">
        <v>529</v>
      </c>
    </row>
    <row r="9" spans="1:9" s="72" customFormat="1" ht="30" customHeight="1" x14ac:dyDescent="0.25">
      <c r="A9" s="82">
        <v>2006</v>
      </c>
      <c r="B9" s="82">
        <v>2005</v>
      </c>
      <c r="C9" s="132"/>
      <c r="D9" s="132"/>
      <c r="E9" s="15">
        <v>18000</v>
      </c>
      <c r="F9" s="66">
        <v>0.25</v>
      </c>
      <c r="G9" s="83"/>
      <c r="H9" s="52"/>
      <c r="I9" s="61"/>
    </row>
    <row r="10" spans="1:9" s="72" customFormat="1" ht="30" customHeight="1" x14ac:dyDescent="0.25">
      <c r="A10" s="82">
        <v>2005</v>
      </c>
      <c r="B10" s="82">
        <v>2004</v>
      </c>
      <c r="C10" s="132"/>
      <c r="D10" s="132"/>
      <c r="E10" s="15">
        <v>18000</v>
      </c>
      <c r="F10" s="66">
        <v>0.25</v>
      </c>
      <c r="G10" s="88"/>
      <c r="H10" s="52"/>
      <c r="I10" s="61"/>
    </row>
    <row r="11" spans="1:9" s="72" customFormat="1" ht="30" customHeight="1" x14ac:dyDescent="0.25">
      <c r="A11" s="82">
        <v>2004</v>
      </c>
      <c r="B11" s="82">
        <v>2003</v>
      </c>
      <c r="C11" s="149"/>
      <c r="D11" s="149"/>
      <c r="E11" s="15">
        <v>18000</v>
      </c>
      <c r="F11" s="66">
        <v>0.25</v>
      </c>
      <c r="G11" s="102"/>
      <c r="H11" s="52"/>
      <c r="I11" s="105"/>
    </row>
    <row r="12" spans="1:9" s="72" customFormat="1" ht="30" customHeight="1" x14ac:dyDescent="0.25">
      <c r="A12" s="82">
        <v>2003</v>
      </c>
      <c r="B12" s="82">
        <v>2002</v>
      </c>
      <c r="C12" s="149"/>
      <c r="D12" s="149"/>
      <c r="E12" s="15">
        <v>18000</v>
      </c>
      <c r="F12" s="66">
        <v>0.25</v>
      </c>
      <c r="G12" s="2"/>
      <c r="H12" s="52"/>
      <c r="I12" s="61"/>
    </row>
    <row r="13" spans="1:9" s="72" customFormat="1" ht="30" customHeight="1" x14ac:dyDescent="0.25">
      <c r="A13" s="82">
        <v>2002</v>
      </c>
      <c r="B13" s="82">
        <v>2001</v>
      </c>
      <c r="C13" s="149"/>
      <c r="D13" s="149"/>
      <c r="E13" s="15">
        <v>18000</v>
      </c>
      <c r="F13" s="66">
        <v>0.25</v>
      </c>
      <c r="G13" s="88"/>
      <c r="H13" s="52"/>
      <c r="I13" s="61"/>
    </row>
    <row r="14" spans="1:9" s="73" customFormat="1" ht="30" customHeight="1" x14ac:dyDescent="0.25">
      <c r="A14" s="82">
        <v>2001</v>
      </c>
      <c r="B14" s="82">
        <v>2000</v>
      </c>
      <c r="C14" s="149"/>
      <c r="D14" s="149"/>
      <c r="E14" s="43">
        <v>120000</v>
      </c>
      <c r="F14" s="66">
        <v>0.25</v>
      </c>
      <c r="G14" s="83"/>
      <c r="H14" s="52"/>
      <c r="I14" s="36"/>
    </row>
    <row r="15" spans="1:9" s="73" customFormat="1" ht="30" customHeight="1" x14ac:dyDescent="0.25">
      <c r="A15" s="82">
        <v>2000</v>
      </c>
      <c r="B15" s="82">
        <v>1999</v>
      </c>
      <c r="C15" s="149"/>
      <c r="D15" s="149"/>
      <c r="E15" s="43">
        <v>120000</v>
      </c>
      <c r="F15" s="66">
        <v>0.25</v>
      </c>
      <c r="G15" s="63"/>
      <c r="H15" s="52"/>
      <c r="I15" s="70"/>
    </row>
    <row r="16" spans="1:9" s="73" customFormat="1" ht="30" customHeight="1" x14ac:dyDescent="0.25">
      <c r="A16" s="82">
        <v>1999</v>
      </c>
      <c r="B16" s="82">
        <v>1998</v>
      </c>
      <c r="C16" s="149"/>
      <c r="D16" s="149"/>
      <c r="E16" s="43">
        <v>120000</v>
      </c>
      <c r="F16" s="66">
        <v>0.25</v>
      </c>
      <c r="G16" s="63"/>
      <c r="H16" s="52"/>
      <c r="I16" s="106"/>
    </row>
    <row r="17" spans="1:9" s="73" customFormat="1" ht="30" customHeight="1" x14ac:dyDescent="0.25">
      <c r="A17" s="82">
        <v>1998</v>
      </c>
      <c r="B17" s="82">
        <v>1997</v>
      </c>
      <c r="C17" s="149"/>
      <c r="D17" s="149"/>
      <c r="E17" s="43">
        <v>120000</v>
      </c>
      <c r="F17" s="66">
        <v>0.25</v>
      </c>
      <c r="G17" s="63"/>
      <c r="H17" s="52"/>
      <c r="I17" s="106"/>
    </row>
    <row r="18" spans="1:9" s="73" customFormat="1" ht="30" customHeight="1" x14ac:dyDescent="0.25">
      <c r="A18" s="82">
        <v>1997</v>
      </c>
      <c r="B18" s="82">
        <v>1996</v>
      </c>
      <c r="C18" s="149"/>
      <c r="D18" s="149"/>
      <c r="E18" s="130"/>
      <c r="F18" s="66">
        <v>0.25</v>
      </c>
      <c r="G18" s="68"/>
      <c r="H18" s="52"/>
      <c r="I18" s="70"/>
    </row>
    <row r="19" spans="1:9" s="73" customFormat="1" ht="30" customHeight="1" x14ac:dyDescent="0.25">
      <c r="A19" s="82">
        <v>1996</v>
      </c>
      <c r="B19" s="82">
        <v>1995</v>
      </c>
      <c r="C19" s="149"/>
      <c r="D19" s="149"/>
      <c r="E19" s="130"/>
      <c r="F19" s="66">
        <v>0.25</v>
      </c>
      <c r="G19" s="68"/>
      <c r="H19" s="81"/>
      <c r="I19" s="70"/>
    </row>
    <row r="20" spans="1:9" s="73" customFormat="1" ht="30" customHeight="1" x14ac:dyDescent="0.25">
      <c r="A20" s="82">
        <v>1995</v>
      </c>
      <c r="B20" s="82">
        <v>1994</v>
      </c>
      <c r="C20" s="149"/>
      <c r="D20" s="149"/>
      <c r="E20" s="130"/>
      <c r="F20" s="66">
        <v>0.25</v>
      </c>
      <c r="G20" s="68"/>
      <c r="H20" s="81"/>
      <c r="I20" s="107" t="s">
        <v>530</v>
      </c>
    </row>
    <row r="21" spans="1:9" ht="30" customHeight="1" x14ac:dyDescent="0.25">
      <c r="A21" s="82">
        <v>1994</v>
      </c>
      <c r="B21" s="82">
        <v>1993</v>
      </c>
      <c r="C21" s="36"/>
      <c r="D21" s="36"/>
      <c r="E21" s="36"/>
      <c r="F21" s="71"/>
      <c r="G21" s="71"/>
      <c r="H21" s="62"/>
      <c r="I21" s="70"/>
    </row>
    <row r="22" spans="1:9" ht="30" customHeight="1" x14ac:dyDescent="0.25">
      <c r="A22" s="82">
        <v>1993</v>
      </c>
      <c r="B22" s="82">
        <v>1992</v>
      </c>
      <c r="C22" s="36"/>
      <c r="D22" s="36"/>
      <c r="E22" s="36"/>
      <c r="F22" s="71"/>
      <c r="G22" s="71"/>
      <c r="H22" s="62"/>
      <c r="I22" s="70"/>
    </row>
    <row r="23" spans="1:9" ht="30" customHeight="1" x14ac:dyDescent="0.25">
      <c r="A23" s="82">
        <v>1992</v>
      </c>
      <c r="B23" s="82">
        <v>1991</v>
      </c>
      <c r="C23" s="36"/>
      <c r="D23" s="36"/>
      <c r="E23" s="36"/>
      <c r="F23" s="36"/>
      <c r="G23" s="36"/>
      <c r="H23" s="36"/>
      <c r="I23" s="36"/>
    </row>
    <row r="24" spans="1:9" ht="30" customHeight="1" x14ac:dyDescent="0.25">
      <c r="A24" s="82">
        <v>1991</v>
      </c>
      <c r="B24" s="82">
        <v>1990</v>
      </c>
      <c r="C24" s="36"/>
      <c r="D24" s="36"/>
      <c r="E24" s="36"/>
      <c r="F24" s="36"/>
      <c r="G24" s="36"/>
      <c r="H24" s="36"/>
      <c r="I24" s="36"/>
    </row>
    <row r="25" spans="1:9" ht="30" customHeight="1" x14ac:dyDescent="0.25">
      <c r="A25" s="82">
        <v>1990</v>
      </c>
      <c r="B25" s="82">
        <v>1989</v>
      </c>
      <c r="C25" s="36"/>
      <c r="D25" s="36"/>
      <c r="E25" s="36"/>
      <c r="F25" s="36"/>
      <c r="G25" s="36"/>
      <c r="H25" s="36"/>
      <c r="I25" s="36"/>
    </row>
    <row r="26" spans="1:9" ht="30" customHeight="1" x14ac:dyDescent="0.25">
      <c r="A26" s="82">
        <v>1989</v>
      </c>
      <c r="B26" s="82">
        <v>1988</v>
      </c>
      <c r="C26" s="36"/>
      <c r="D26" s="36"/>
      <c r="E26" s="36"/>
      <c r="F26" s="36"/>
      <c r="G26" s="36"/>
      <c r="H26" s="36"/>
      <c r="I26" s="36"/>
    </row>
    <row r="27" spans="1:9" ht="30" customHeight="1" x14ac:dyDescent="0.25">
      <c r="A27" s="82">
        <v>1988</v>
      </c>
      <c r="B27" s="82">
        <v>1987</v>
      </c>
      <c r="C27" s="36"/>
      <c r="D27" s="36"/>
      <c r="E27" s="36"/>
      <c r="F27" s="36"/>
      <c r="G27" s="36"/>
      <c r="H27" s="36"/>
      <c r="I27" s="36"/>
    </row>
    <row r="28" spans="1:9" ht="30" customHeight="1" x14ac:dyDescent="0.25">
      <c r="A28" s="82">
        <v>1987</v>
      </c>
      <c r="B28" s="82">
        <v>1986</v>
      </c>
      <c r="C28" s="36"/>
      <c r="D28" s="36"/>
      <c r="E28" s="36"/>
      <c r="F28" s="36"/>
      <c r="G28" s="36"/>
      <c r="H28" s="36"/>
      <c r="I28" s="36"/>
    </row>
    <row r="29" spans="1:9" ht="30" customHeight="1" x14ac:dyDescent="0.25">
      <c r="A29" s="82">
        <v>1986</v>
      </c>
      <c r="B29" s="82">
        <v>1985</v>
      </c>
    </row>
    <row r="30" spans="1:9" ht="30" customHeight="1" x14ac:dyDescent="0.25">
      <c r="A30" s="82">
        <v>1985</v>
      </c>
      <c r="B30" s="82">
        <v>1984</v>
      </c>
    </row>
    <row r="31" spans="1:9" ht="30" customHeight="1" x14ac:dyDescent="0.25">
      <c r="A31" s="82">
        <v>1984</v>
      </c>
      <c r="B31" s="82">
        <v>1983</v>
      </c>
    </row>
    <row r="32" spans="1:9" ht="30" customHeight="1" x14ac:dyDescent="0.25">
      <c r="A32" s="82">
        <v>1983</v>
      </c>
      <c r="B32" s="82">
        <v>1982</v>
      </c>
    </row>
    <row r="33" spans="1:2" ht="30" customHeight="1" x14ac:dyDescent="0.25">
      <c r="A33" s="82">
        <v>1982</v>
      </c>
      <c r="B33" s="82">
        <v>1981</v>
      </c>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row r="92" spans="1:2" ht="30" customHeight="1" x14ac:dyDescent="0.25">
      <c r="A92" s="147"/>
      <c r="B92" s="147"/>
    </row>
  </sheetData>
  <hyperlinks>
    <hyperlink ref="F13" r:id="rId1" location="LEGIARTI000006212781" display="http://legifrance.gouv.fr/affichTexteArticle.do;jsessionid=74B6FCBBE75E37F0115D9428F2169E51.tpdjo12v_1?cidTexte=JORFTEXT000000596281&amp;idArticle=LEGIARTI000006212781&amp;dateTexte=20040531&amp;categorieLien=id - LEGIARTI000006212781"/>
    <hyperlink ref="G13" r:id="rId2" location="LEGIARTI000006212781" display="http://legifrance.gouv.fr/affichTexteArticle.do;jsessionid=74B6FCBBE75E37F0115D9428F2169E51.tpdjo12v_1?cidTexte=JORFTEXT000000596281&amp;idArticle=LEGIARTI000006212781&amp;dateTexte=20040531&amp;categorieLien=id - LEGIARTI000006212781"/>
  </hyperlinks>
  <pageMargins left="0.7" right="0.7" top="0.75" bottom="0.75" header="0.3" footer="0.3"/>
  <pageSetup paperSize="9" orientation="portrait"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workbookViewId="0">
      <pane xSplit="2" ySplit="2" topLeftCell="C3" activePane="bottomRight" state="frozen"/>
      <selection pane="topRight" activeCell="B1" sqref="B1"/>
      <selection pane="bottomLeft" activeCell="A2" sqref="A2"/>
      <selection pane="bottomRight" sqref="A1:XFD1"/>
    </sheetView>
  </sheetViews>
  <sheetFormatPr baseColWidth="10" defaultColWidth="15.7109375" defaultRowHeight="30" customHeight="1" x14ac:dyDescent="0.25"/>
  <cols>
    <col min="1" max="2" width="15.7109375" style="72" customWidth="1"/>
    <col min="3" max="3" width="22.5703125" style="35" customWidth="1"/>
    <col min="4" max="4" width="22.7109375" style="35" customWidth="1"/>
    <col min="5" max="5" width="23.28515625" style="35" customWidth="1"/>
    <col min="6" max="6" width="42.85546875" style="35" customWidth="1"/>
    <col min="7" max="7" width="15.140625" style="35" customWidth="1"/>
    <col min="8" max="8" width="100.140625" style="35" customWidth="1"/>
    <col min="9" max="16384" width="15.7109375" style="35"/>
  </cols>
  <sheetData>
    <row r="1" spans="1:8" ht="30" hidden="1" customHeight="1" x14ac:dyDescent="0.25">
      <c r="A1" s="4" t="s">
        <v>221</v>
      </c>
      <c r="B1" s="4" t="s">
        <v>222</v>
      </c>
      <c r="C1" s="104" t="s">
        <v>278</v>
      </c>
      <c r="D1" s="104" t="s">
        <v>276</v>
      </c>
      <c r="E1" s="104" t="s">
        <v>277</v>
      </c>
      <c r="F1" s="4" t="s">
        <v>179</v>
      </c>
      <c r="G1" s="4" t="s">
        <v>4</v>
      </c>
      <c r="H1" s="5" t="s">
        <v>5</v>
      </c>
    </row>
    <row r="2" spans="1:8" ht="57.75" customHeight="1" x14ac:dyDescent="0.25">
      <c r="A2" s="4" t="s">
        <v>221</v>
      </c>
      <c r="B2" s="4" t="s">
        <v>222</v>
      </c>
      <c r="C2" s="276" t="s">
        <v>531</v>
      </c>
      <c r="D2" s="276" t="s">
        <v>532</v>
      </c>
      <c r="E2" s="276" t="s">
        <v>533</v>
      </c>
      <c r="F2" s="4" t="s">
        <v>179</v>
      </c>
      <c r="G2" s="4" t="s">
        <v>4</v>
      </c>
      <c r="H2" s="5" t="s">
        <v>5</v>
      </c>
    </row>
    <row r="3" spans="1:8" ht="30" customHeight="1" x14ac:dyDescent="0.25">
      <c r="A3" s="176">
        <v>2012</v>
      </c>
      <c r="B3" s="176">
        <v>2011</v>
      </c>
      <c r="C3" s="155">
        <v>0.22</v>
      </c>
      <c r="D3" s="179"/>
      <c r="E3" s="86">
        <v>20000</v>
      </c>
      <c r="F3" s="2"/>
      <c r="G3" s="177"/>
      <c r="H3" s="100" t="s">
        <v>534</v>
      </c>
    </row>
    <row r="4" spans="1:8" s="72" customFormat="1" ht="30" customHeight="1" x14ac:dyDescent="0.25">
      <c r="A4" s="82">
        <v>2011</v>
      </c>
      <c r="B4" s="82">
        <v>2010</v>
      </c>
      <c r="C4" s="98">
        <v>0.25</v>
      </c>
      <c r="D4" s="132"/>
      <c r="E4" s="108">
        <v>20000</v>
      </c>
      <c r="F4" s="2"/>
      <c r="G4" s="52"/>
    </row>
    <row r="5" spans="1:8" s="72" customFormat="1" ht="30" customHeight="1" x14ac:dyDescent="0.25">
      <c r="A5" s="82">
        <v>2010</v>
      </c>
      <c r="B5" s="82">
        <v>2009</v>
      </c>
      <c r="C5" s="98">
        <v>0.25</v>
      </c>
      <c r="D5" s="132"/>
      <c r="E5" s="108">
        <v>20000</v>
      </c>
      <c r="F5" s="2"/>
      <c r="G5" s="52"/>
      <c r="H5" s="113"/>
    </row>
    <row r="6" spans="1:8" s="72" customFormat="1" ht="30" customHeight="1" x14ac:dyDescent="0.25">
      <c r="A6" s="82">
        <v>2009</v>
      </c>
      <c r="B6" s="82">
        <v>2008</v>
      </c>
      <c r="C6" s="98">
        <v>0.25</v>
      </c>
      <c r="D6" s="132"/>
      <c r="E6" s="108">
        <v>20000</v>
      </c>
      <c r="F6" s="2"/>
      <c r="G6" s="52"/>
      <c r="H6" s="96"/>
    </row>
    <row r="7" spans="1:8" s="72" customFormat="1" ht="30" customHeight="1" x14ac:dyDescent="0.25">
      <c r="A7" s="82">
        <v>2008</v>
      </c>
      <c r="B7" s="82">
        <v>2007</v>
      </c>
      <c r="C7" s="98">
        <v>0.25</v>
      </c>
      <c r="D7" s="132"/>
      <c r="E7" s="108">
        <v>20000</v>
      </c>
      <c r="F7" s="2"/>
      <c r="G7" s="52"/>
      <c r="H7" s="61"/>
    </row>
    <row r="8" spans="1:8" s="72" customFormat="1" ht="30" customHeight="1" x14ac:dyDescent="0.25">
      <c r="A8" s="82">
        <v>2007</v>
      </c>
      <c r="B8" s="82">
        <v>2006</v>
      </c>
      <c r="C8" s="98">
        <v>0.25</v>
      </c>
      <c r="D8" s="132"/>
      <c r="E8" s="108">
        <v>20000</v>
      </c>
      <c r="F8" s="94"/>
      <c r="G8" s="52"/>
      <c r="H8" s="61"/>
    </row>
    <row r="9" spans="1:8" s="72" customFormat="1" ht="30" customHeight="1" x14ac:dyDescent="0.25">
      <c r="A9" s="82">
        <v>2006</v>
      </c>
      <c r="B9" s="82">
        <v>2005</v>
      </c>
      <c r="C9" s="98">
        <v>0.25</v>
      </c>
      <c r="D9" s="132"/>
      <c r="E9" s="108">
        <v>20000</v>
      </c>
      <c r="F9" s="83"/>
      <c r="G9" s="52"/>
      <c r="H9" s="100"/>
    </row>
    <row r="10" spans="1:8" s="72" customFormat="1" ht="30" customHeight="1" x14ac:dyDescent="0.25">
      <c r="A10" s="82">
        <v>2005</v>
      </c>
      <c r="B10" s="82">
        <v>2004</v>
      </c>
      <c r="C10" s="98">
        <v>0.25</v>
      </c>
      <c r="D10" s="132"/>
      <c r="E10" s="108">
        <v>20000</v>
      </c>
      <c r="F10" s="88"/>
      <c r="G10" s="52"/>
      <c r="H10" s="61"/>
    </row>
    <row r="11" spans="1:8" s="72" customFormat="1" ht="30" customHeight="1" x14ac:dyDescent="0.25">
      <c r="A11" s="82">
        <v>2004</v>
      </c>
      <c r="B11" s="82">
        <v>2003</v>
      </c>
      <c r="C11" s="98">
        <v>0.25</v>
      </c>
      <c r="D11" s="132"/>
      <c r="E11" s="108">
        <v>20000</v>
      </c>
      <c r="F11" s="102"/>
      <c r="G11" s="52"/>
      <c r="H11" s="61"/>
    </row>
    <row r="12" spans="1:8" s="72" customFormat="1" ht="30" customHeight="1" x14ac:dyDescent="0.25">
      <c r="A12" s="82">
        <v>2003</v>
      </c>
      <c r="B12" s="82">
        <v>2002</v>
      </c>
      <c r="C12" s="110">
        <v>0.25</v>
      </c>
      <c r="D12" s="149"/>
      <c r="E12" s="108">
        <v>20000</v>
      </c>
      <c r="F12" s="2"/>
      <c r="G12" s="52"/>
      <c r="H12" s="105"/>
    </row>
    <row r="13" spans="1:8" s="72" customFormat="1" ht="30" customHeight="1" x14ac:dyDescent="0.25">
      <c r="A13" s="82">
        <v>2002</v>
      </c>
      <c r="B13" s="82">
        <v>2001</v>
      </c>
      <c r="C13" s="110">
        <v>0.25</v>
      </c>
      <c r="D13" s="149"/>
      <c r="E13" s="108">
        <v>5717</v>
      </c>
      <c r="F13" s="88"/>
      <c r="G13" s="52"/>
      <c r="H13" s="61"/>
    </row>
    <row r="14" spans="1:8" s="72" customFormat="1" ht="30" customHeight="1" x14ac:dyDescent="0.25">
      <c r="A14" s="82">
        <v>2001</v>
      </c>
      <c r="B14" s="82">
        <v>2000</v>
      </c>
      <c r="C14" s="110">
        <v>0.25</v>
      </c>
      <c r="D14" s="149"/>
      <c r="E14" s="112">
        <v>37500</v>
      </c>
      <c r="F14" s="83"/>
      <c r="G14" s="52"/>
      <c r="H14" s="61"/>
    </row>
    <row r="15" spans="1:8" s="73" customFormat="1" ht="30" customHeight="1" x14ac:dyDescent="0.25">
      <c r="A15" s="82">
        <v>2000</v>
      </c>
      <c r="B15" s="82">
        <v>1999</v>
      </c>
      <c r="C15" s="110">
        <v>0.25</v>
      </c>
      <c r="D15" s="130"/>
      <c r="E15" s="112">
        <v>37500</v>
      </c>
      <c r="F15" s="63"/>
      <c r="G15" s="52"/>
      <c r="H15" s="36"/>
    </row>
    <row r="16" spans="1:8" s="73" customFormat="1" ht="30" customHeight="1" x14ac:dyDescent="0.25">
      <c r="A16" s="82">
        <v>1999</v>
      </c>
      <c r="B16" s="82">
        <v>1998</v>
      </c>
      <c r="C16" s="110">
        <v>0.25</v>
      </c>
      <c r="D16" s="130"/>
      <c r="E16" s="112">
        <v>37500</v>
      </c>
      <c r="F16" s="63"/>
      <c r="G16" s="52"/>
      <c r="H16" s="70"/>
    </row>
    <row r="17" spans="1:8" s="73" customFormat="1" ht="30" customHeight="1" x14ac:dyDescent="0.25">
      <c r="A17" s="82">
        <v>1998</v>
      </c>
      <c r="B17" s="82">
        <v>1997</v>
      </c>
      <c r="C17" s="110">
        <v>0.25</v>
      </c>
      <c r="D17" s="130"/>
      <c r="E17" s="112">
        <v>37500</v>
      </c>
      <c r="F17" s="63"/>
      <c r="G17" s="52"/>
      <c r="H17" s="106"/>
    </row>
    <row r="18" spans="1:8" s="73" customFormat="1" ht="30" customHeight="1" x14ac:dyDescent="0.25">
      <c r="A18" s="82">
        <v>1997</v>
      </c>
      <c r="B18" s="82">
        <v>1996</v>
      </c>
      <c r="C18" s="110">
        <v>0.25</v>
      </c>
      <c r="D18" s="130"/>
      <c r="E18" s="112">
        <v>37500</v>
      </c>
      <c r="F18" s="68"/>
      <c r="G18" s="52"/>
      <c r="H18" s="106"/>
    </row>
    <row r="19" spans="1:8" s="73" customFormat="1" ht="30" customHeight="1" x14ac:dyDescent="0.25">
      <c r="A19" s="82">
        <v>1996</v>
      </c>
      <c r="B19" s="82">
        <v>1995</v>
      </c>
      <c r="C19" s="110">
        <v>0.25</v>
      </c>
      <c r="D19" s="112">
        <v>25000</v>
      </c>
      <c r="E19" s="112">
        <v>37500</v>
      </c>
      <c r="F19" s="68"/>
      <c r="G19" s="52"/>
      <c r="H19" s="167" t="s">
        <v>279</v>
      </c>
    </row>
    <row r="20" spans="1:8" s="73" customFormat="1" ht="30" customHeight="1" x14ac:dyDescent="0.25">
      <c r="A20" s="82">
        <v>1995</v>
      </c>
      <c r="B20" s="82">
        <v>1994</v>
      </c>
      <c r="C20" s="110">
        <v>0.25</v>
      </c>
      <c r="D20" s="112">
        <v>25000</v>
      </c>
      <c r="E20" s="130"/>
      <c r="F20" s="68"/>
      <c r="G20" s="81"/>
      <c r="H20" s="70"/>
    </row>
    <row r="21" spans="1:8" s="73" customFormat="1" ht="30" customHeight="1" x14ac:dyDescent="0.25">
      <c r="A21" s="82">
        <v>1994</v>
      </c>
      <c r="B21" s="82">
        <v>1993</v>
      </c>
      <c r="C21" s="110">
        <v>0.25</v>
      </c>
      <c r="D21" s="112">
        <v>25000</v>
      </c>
      <c r="E21" s="130"/>
      <c r="F21" s="71"/>
      <c r="G21" s="81"/>
      <c r="H21" s="107"/>
    </row>
    <row r="22" spans="1:8" ht="30" customHeight="1" x14ac:dyDescent="0.25">
      <c r="A22" s="82">
        <v>1993</v>
      </c>
      <c r="B22" s="82">
        <v>1992</v>
      </c>
      <c r="C22" s="111"/>
      <c r="D22" s="111"/>
      <c r="E22" s="111"/>
      <c r="F22" s="71"/>
      <c r="G22" s="62"/>
      <c r="H22" s="70"/>
    </row>
    <row r="23" spans="1:8" ht="30" customHeight="1" x14ac:dyDescent="0.25">
      <c r="A23" s="82">
        <v>1992</v>
      </c>
      <c r="B23" s="82">
        <v>1991</v>
      </c>
      <c r="C23" s="36"/>
      <c r="D23" s="36"/>
      <c r="E23" s="36"/>
      <c r="F23" s="36"/>
      <c r="G23" s="62"/>
      <c r="H23" s="70"/>
    </row>
    <row r="24" spans="1:8" ht="30" customHeight="1" x14ac:dyDescent="0.25">
      <c r="A24" s="82">
        <v>1991</v>
      </c>
      <c r="B24" s="82">
        <v>1990</v>
      </c>
      <c r="C24" s="36"/>
      <c r="D24" s="36"/>
      <c r="E24" s="36"/>
      <c r="F24" s="36"/>
      <c r="G24" s="36"/>
      <c r="H24" s="36"/>
    </row>
    <row r="25" spans="1:8" ht="30" customHeight="1" x14ac:dyDescent="0.25">
      <c r="A25" s="82">
        <v>1990</v>
      </c>
      <c r="B25" s="82">
        <v>1989</v>
      </c>
      <c r="C25" s="36"/>
      <c r="D25" s="36"/>
      <c r="E25" s="36"/>
      <c r="F25" s="36"/>
      <c r="G25" s="36"/>
      <c r="H25" s="36"/>
    </row>
    <row r="26" spans="1:8" ht="30" customHeight="1" x14ac:dyDescent="0.25">
      <c r="A26" s="82">
        <v>1989</v>
      </c>
      <c r="B26" s="82">
        <v>1988</v>
      </c>
      <c r="C26" s="36"/>
      <c r="D26" s="36"/>
      <c r="E26" s="36"/>
      <c r="F26" s="36"/>
      <c r="G26" s="36"/>
      <c r="H26" s="36"/>
    </row>
    <row r="27" spans="1:8" ht="30" customHeight="1" x14ac:dyDescent="0.25">
      <c r="A27" s="82">
        <v>1988</v>
      </c>
      <c r="B27" s="82">
        <v>1987</v>
      </c>
      <c r="C27" s="36"/>
      <c r="D27" s="36"/>
      <c r="E27" s="36"/>
      <c r="F27" s="36"/>
      <c r="G27" s="36"/>
      <c r="H27" s="36"/>
    </row>
    <row r="28" spans="1:8" ht="30" customHeight="1" x14ac:dyDescent="0.25">
      <c r="A28" s="82">
        <v>1987</v>
      </c>
      <c r="B28" s="82">
        <v>1986</v>
      </c>
      <c r="C28" s="36"/>
      <c r="D28" s="36"/>
      <c r="E28" s="36"/>
      <c r="F28" s="36"/>
      <c r="G28" s="36"/>
      <c r="H28" s="36"/>
    </row>
    <row r="29" spans="1:8" ht="30" customHeight="1" x14ac:dyDescent="0.25">
      <c r="A29" s="82">
        <v>1986</v>
      </c>
      <c r="B29" s="82">
        <v>1985</v>
      </c>
      <c r="C29" s="36"/>
      <c r="D29" s="36"/>
      <c r="E29" s="36"/>
      <c r="G29" s="36"/>
      <c r="H29" s="36"/>
    </row>
    <row r="30" spans="1:8" ht="30" customHeight="1" x14ac:dyDescent="0.25">
      <c r="A30" s="82">
        <v>1985</v>
      </c>
      <c r="B30" s="82">
        <v>1984</v>
      </c>
    </row>
    <row r="31" spans="1:8" ht="30" customHeight="1" x14ac:dyDescent="0.25">
      <c r="A31" s="82">
        <v>1984</v>
      </c>
      <c r="B31" s="82">
        <v>1983</v>
      </c>
    </row>
    <row r="32" spans="1:8" ht="30" customHeight="1" x14ac:dyDescent="0.25">
      <c r="A32" s="82">
        <v>1983</v>
      </c>
      <c r="B32" s="82">
        <v>1982</v>
      </c>
    </row>
    <row r="33" spans="1:2" ht="30" customHeight="1" x14ac:dyDescent="0.25">
      <c r="A33" s="82">
        <v>1982</v>
      </c>
      <c r="B33" s="82">
        <v>1981</v>
      </c>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row r="92" spans="1:2" ht="30" customHeight="1" x14ac:dyDescent="0.25">
      <c r="A92" s="147"/>
      <c r="B92" s="147"/>
    </row>
  </sheetData>
  <hyperlinks>
    <hyperlink ref="F13" r:id="rId1" location="LEGIARTI000006212781" display="http://legifrance.gouv.fr/affichTexteArticle.do;jsessionid=74B6FCBBE75E37F0115D9428F2169E51.tpdjo12v_1?cidTexte=JORFTEXT000000596281&amp;idArticle=LEGIARTI000006212781&amp;dateTexte=20040531&amp;categorieLien=id - LEGIARTI000006212781"/>
  </hyperlinks>
  <pageMargins left="0.7" right="0.7" top="0.75" bottom="0.75" header="0.3" footer="0.3"/>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workbookViewId="0">
      <pane xSplit="2" ySplit="2" topLeftCell="D3" activePane="bottomRight" state="frozen"/>
      <selection pane="topRight" activeCell="B1" sqref="B1"/>
      <selection pane="bottomLeft" activeCell="A2" sqref="A2"/>
      <selection pane="bottomRight" sqref="A1:XFD1"/>
    </sheetView>
  </sheetViews>
  <sheetFormatPr baseColWidth="10" defaultColWidth="15.7109375" defaultRowHeight="30" customHeight="1" x14ac:dyDescent="0.25"/>
  <cols>
    <col min="1" max="2" width="15.7109375" style="72" customWidth="1"/>
    <col min="3" max="3" width="20.28515625" style="35" customWidth="1"/>
    <col min="4" max="4" width="22.42578125" style="35" customWidth="1"/>
    <col min="5" max="5" width="24.140625" style="35" customWidth="1"/>
    <col min="6" max="6" width="23" style="35" customWidth="1"/>
    <col min="7" max="7" width="42.85546875" style="35" customWidth="1"/>
    <col min="8" max="8" width="15.140625" style="35" customWidth="1"/>
    <col min="9" max="9" width="100.140625" style="35" customWidth="1"/>
    <col min="10" max="16384" width="15.7109375" style="35"/>
  </cols>
  <sheetData>
    <row r="1" spans="1:9" ht="30" hidden="1" customHeight="1" x14ac:dyDescent="0.25">
      <c r="A1" s="4" t="s">
        <v>221</v>
      </c>
      <c r="B1" s="4" t="s">
        <v>222</v>
      </c>
      <c r="C1" s="28" t="s">
        <v>293</v>
      </c>
      <c r="D1" s="28" t="s">
        <v>292</v>
      </c>
      <c r="E1" s="28" t="s">
        <v>302</v>
      </c>
      <c r="F1" s="28" t="s">
        <v>303</v>
      </c>
      <c r="G1" s="4" t="s">
        <v>179</v>
      </c>
      <c r="H1" s="4" t="s">
        <v>4</v>
      </c>
      <c r="I1" s="5" t="s">
        <v>5</v>
      </c>
    </row>
    <row r="2" spans="1:9" ht="52.5" customHeight="1" x14ac:dyDescent="0.25">
      <c r="A2" s="4" t="s">
        <v>221</v>
      </c>
      <c r="B2" s="4" t="s">
        <v>222</v>
      </c>
      <c r="C2" s="265" t="s">
        <v>535</v>
      </c>
      <c r="D2" s="265" t="s">
        <v>536</v>
      </c>
      <c r="E2" s="265" t="s">
        <v>537</v>
      </c>
      <c r="F2" s="265" t="s">
        <v>538</v>
      </c>
      <c r="G2" s="4" t="s">
        <v>179</v>
      </c>
      <c r="H2" s="4" t="s">
        <v>4</v>
      </c>
      <c r="I2" s="5" t="s">
        <v>5</v>
      </c>
    </row>
    <row r="3" spans="1:9" s="72" customFormat="1" ht="30" customHeight="1" x14ac:dyDescent="0.25">
      <c r="A3" s="82">
        <v>2011</v>
      </c>
      <c r="B3" s="82">
        <v>2010</v>
      </c>
      <c r="C3" s="15">
        <v>5700</v>
      </c>
      <c r="D3" s="66">
        <f t="shared" ref="D3:D12" si="0">25/100</f>
        <v>0.25</v>
      </c>
      <c r="E3" s="66">
        <v>0.5</v>
      </c>
      <c r="F3" s="15">
        <v>1000</v>
      </c>
      <c r="G3" s="2"/>
      <c r="H3" s="52"/>
      <c r="I3" s="99" t="s">
        <v>193</v>
      </c>
    </row>
    <row r="4" spans="1:9" s="72" customFormat="1" ht="30" customHeight="1" x14ac:dyDescent="0.25">
      <c r="A4" s="82">
        <v>2010</v>
      </c>
      <c r="B4" s="82">
        <v>2009</v>
      </c>
      <c r="C4" s="15">
        <v>5700</v>
      </c>
      <c r="D4" s="66">
        <f t="shared" si="0"/>
        <v>0.25</v>
      </c>
      <c r="E4" s="66">
        <v>0.5</v>
      </c>
      <c r="F4" s="15">
        <v>1000</v>
      </c>
      <c r="G4" s="2"/>
      <c r="H4" s="52"/>
      <c r="I4" s="96"/>
    </row>
    <row r="5" spans="1:9" s="72" customFormat="1" ht="30" customHeight="1" x14ac:dyDescent="0.25">
      <c r="A5" s="82">
        <v>2009</v>
      </c>
      <c r="B5" s="82">
        <v>2008</v>
      </c>
      <c r="C5" s="15">
        <v>5700</v>
      </c>
      <c r="D5" s="66">
        <f t="shared" si="0"/>
        <v>0.25</v>
      </c>
      <c r="E5" s="66">
        <v>0.5</v>
      </c>
      <c r="F5" s="15">
        <v>1000</v>
      </c>
      <c r="G5" s="2"/>
      <c r="H5" s="52"/>
      <c r="I5" s="61"/>
    </row>
    <row r="6" spans="1:9" s="72" customFormat="1" ht="30" customHeight="1" x14ac:dyDescent="0.25">
      <c r="A6" s="82">
        <v>2008</v>
      </c>
      <c r="B6" s="82">
        <v>2007</v>
      </c>
      <c r="C6" s="15">
        <v>5700</v>
      </c>
      <c r="D6" s="66">
        <f t="shared" si="0"/>
        <v>0.25</v>
      </c>
      <c r="E6" s="66">
        <v>0.5</v>
      </c>
      <c r="F6" s="15">
        <v>1000</v>
      </c>
      <c r="G6" s="2"/>
      <c r="H6" s="52"/>
      <c r="I6" s="61"/>
    </row>
    <row r="7" spans="1:9" s="72" customFormat="1" ht="30" customHeight="1" x14ac:dyDescent="0.25">
      <c r="A7" s="82">
        <v>2007</v>
      </c>
      <c r="B7" s="82">
        <v>2006</v>
      </c>
      <c r="C7" s="15">
        <v>5700</v>
      </c>
      <c r="D7" s="66">
        <f t="shared" si="0"/>
        <v>0.25</v>
      </c>
      <c r="E7" s="66">
        <v>0.5</v>
      </c>
      <c r="F7" s="15">
        <v>1000</v>
      </c>
      <c r="G7" s="94"/>
      <c r="H7" s="52"/>
      <c r="I7" s="261" t="s">
        <v>539</v>
      </c>
    </row>
    <row r="8" spans="1:9" s="72" customFormat="1" ht="30" customHeight="1" x14ac:dyDescent="0.25">
      <c r="A8" s="82">
        <v>2006</v>
      </c>
      <c r="B8" s="82">
        <v>2005</v>
      </c>
      <c r="C8" s="15">
        <v>5700</v>
      </c>
      <c r="D8" s="66">
        <f t="shared" si="0"/>
        <v>0.25</v>
      </c>
      <c r="E8" s="132"/>
      <c r="F8" s="132"/>
      <c r="G8" s="83"/>
      <c r="H8" s="52"/>
      <c r="I8" s="61"/>
    </row>
    <row r="9" spans="1:9" s="72" customFormat="1" ht="30" customHeight="1" x14ac:dyDescent="0.25">
      <c r="A9" s="82">
        <v>2005</v>
      </c>
      <c r="B9" s="82">
        <v>2004</v>
      </c>
      <c r="C9" s="15">
        <v>5700</v>
      </c>
      <c r="D9" s="66">
        <f t="shared" si="0"/>
        <v>0.25</v>
      </c>
      <c r="E9" s="132"/>
      <c r="F9" s="132"/>
      <c r="G9" s="88"/>
      <c r="H9" s="52"/>
      <c r="I9" s="61"/>
    </row>
    <row r="10" spans="1:9" s="72" customFormat="1" ht="30" customHeight="1" x14ac:dyDescent="0.25">
      <c r="A10" s="82">
        <v>2004</v>
      </c>
      <c r="B10" s="82">
        <v>2003</v>
      </c>
      <c r="C10" s="15">
        <v>5700</v>
      </c>
      <c r="D10" s="66">
        <f t="shared" si="0"/>
        <v>0.25</v>
      </c>
      <c r="E10" s="132"/>
      <c r="F10" s="132"/>
      <c r="G10" s="102"/>
      <c r="H10" s="52"/>
      <c r="I10" s="95"/>
    </row>
    <row r="11" spans="1:9" s="72" customFormat="1" ht="30" customHeight="1" x14ac:dyDescent="0.25">
      <c r="A11" s="82">
        <v>2003</v>
      </c>
      <c r="B11" s="82">
        <v>2002</v>
      </c>
      <c r="C11" s="15">
        <v>5700</v>
      </c>
      <c r="D11" s="66">
        <f t="shared" si="0"/>
        <v>0.25</v>
      </c>
      <c r="E11" s="132"/>
      <c r="F11" s="132"/>
      <c r="G11" s="2"/>
      <c r="H11" s="52"/>
      <c r="I11" s="61"/>
    </row>
    <row r="12" spans="1:9" s="72" customFormat="1" ht="30" customHeight="1" x14ac:dyDescent="0.25">
      <c r="A12" s="82">
        <v>2002</v>
      </c>
      <c r="B12" s="82">
        <v>2001</v>
      </c>
      <c r="C12" s="15">
        <v>5700</v>
      </c>
      <c r="D12" s="66">
        <f t="shared" si="0"/>
        <v>0.25</v>
      </c>
      <c r="E12" s="132"/>
      <c r="F12" s="132"/>
      <c r="G12" s="88"/>
      <c r="H12" s="52">
        <v>37083</v>
      </c>
      <c r="I12" s="96" t="s">
        <v>189</v>
      </c>
    </row>
    <row r="13" spans="1:9" s="73" customFormat="1" ht="30" customHeight="1" x14ac:dyDescent="0.25">
      <c r="A13" s="82">
        <v>2001</v>
      </c>
      <c r="B13" s="82">
        <v>2000</v>
      </c>
      <c r="C13" s="132"/>
      <c r="D13" s="132"/>
      <c r="E13" s="132"/>
      <c r="F13" s="132"/>
      <c r="G13" s="83"/>
      <c r="H13" s="52"/>
      <c r="I13" s="312"/>
    </row>
    <row r="14" spans="1:9" s="73" customFormat="1" ht="30" customHeight="1" x14ac:dyDescent="0.25">
      <c r="A14" s="82">
        <v>2000</v>
      </c>
      <c r="B14" s="82">
        <v>1999</v>
      </c>
      <c r="C14" s="132"/>
      <c r="D14" s="132"/>
      <c r="E14" s="132"/>
      <c r="F14" s="132"/>
      <c r="G14" s="63"/>
      <c r="H14" s="52"/>
      <c r="I14" s="312"/>
    </row>
    <row r="15" spans="1:9" s="73" customFormat="1" ht="30" customHeight="1" x14ac:dyDescent="0.25">
      <c r="A15" s="82">
        <v>1999</v>
      </c>
      <c r="B15" s="82">
        <v>1998</v>
      </c>
      <c r="C15" s="132"/>
      <c r="D15" s="132"/>
      <c r="E15" s="132"/>
      <c r="F15" s="132"/>
      <c r="G15" s="63"/>
      <c r="H15" s="52"/>
      <c r="I15" s="312"/>
    </row>
    <row r="16" spans="1:9" s="73" customFormat="1" ht="30" customHeight="1" x14ac:dyDescent="0.25">
      <c r="A16" s="82">
        <v>1998</v>
      </c>
      <c r="B16" s="82">
        <v>1997</v>
      </c>
      <c r="C16" s="132"/>
      <c r="D16" s="132"/>
      <c r="E16" s="132"/>
      <c r="F16" s="132"/>
      <c r="G16" s="63"/>
      <c r="H16" s="52"/>
      <c r="I16" s="312"/>
    </row>
    <row r="17" spans="1:9" s="73" customFormat="1" ht="30" customHeight="1" x14ac:dyDescent="0.25">
      <c r="A17" s="82">
        <v>1997</v>
      </c>
      <c r="B17" s="82">
        <v>1996</v>
      </c>
      <c r="C17" s="132"/>
      <c r="D17" s="132"/>
      <c r="E17" s="132"/>
      <c r="F17" s="132"/>
      <c r="G17" s="68"/>
      <c r="H17" s="52"/>
      <c r="I17" s="70"/>
    </row>
    <row r="18" spans="1:9" s="73" customFormat="1" ht="30" customHeight="1" x14ac:dyDescent="0.25">
      <c r="A18" s="82">
        <v>1996</v>
      </c>
      <c r="B18" s="82">
        <v>1995</v>
      </c>
      <c r="C18" s="132"/>
      <c r="D18" s="132"/>
      <c r="E18" s="132"/>
      <c r="F18" s="132"/>
      <c r="G18" s="68"/>
      <c r="H18" s="81"/>
      <c r="I18" s="70"/>
    </row>
    <row r="19" spans="1:9" s="73" customFormat="1" ht="30" customHeight="1" x14ac:dyDescent="0.25">
      <c r="A19" s="82">
        <v>1995</v>
      </c>
      <c r="B19" s="82">
        <v>1994</v>
      </c>
      <c r="C19" s="132"/>
      <c r="D19" s="132"/>
      <c r="E19" s="132"/>
      <c r="F19" s="132"/>
      <c r="G19" s="68"/>
      <c r="H19" s="81"/>
      <c r="I19" s="70"/>
    </row>
    <row r="20" spans="1:9" ht="30" customHeight="1" x14ac:dyDescent="0.25">
      <c r="A20" s="82">
        <v>1994</v>
      </c>
      <c r="B20" s="82">
        <v>1993</v>
      </c>
      <c r="C20" s="36"/>
      <c r="D20" s="36"/>
      <c r="E20" s="36"/>
      <c r="F20" s="36"/>
      <c r="G20" s="71"/>
      <c r="H20" s="62"/>
      <c r="I20" s="70"/>
    </row>
    <row r="21" spans="1:9" ht="30" customHeight="1" x14ac:dyDescent="0.25">
      <c r="A21" s="82">
        <v>1993</v>
      </c>
      <c r="B21" s="82">
        <v>1992</v>
      </c>
      <c r="C21" s="36"/>
      <c r="D21" s="36"/>
      <c r="E21" s="36"/>
      <c r="F21" s="36"/>
      <c r="G21" s="71"/>
      <c r="H21" s="62"/>
      <c r="I21" s="70"/>
    </row>
    <row r="22" spans="1:9" ht="30" customHeight="1" x14ac:dyDescent="0.25">
      <c r="A22" s="82">
        <v>1992</v>
      </c>
      <c r="B22" s="82">
        <v>1991</v>
      </c>
      <c r="C22" s="36"/>
      <c r="D22" s="36"/>
      <c r="E22" s="36"/>
      <c r="F22" s="36"/>
      <c r="G22" s="36"/>
      <c r="H22" s="36"/>
      <c r="I22" s="36"/>
    </row>
    <row r="23" spans="1:9" ht="30" customHeight="1" x14ac:dyDescent="0.25">
      <c r="A23" s="82">
        <v>1991</v>
      </c>
      <c r="B23" s="82">
        <v>1990</v>
      </c>
      <c r="C23" s="36"/>
      <c r="D23" s="36"/>
      <c r="E23" s="36"/>
      <c r="F23" s="36"/>
      <c r="G23" s="36"/>
      <c r="H23" s="36"/>
      <c r="I23" s="36"/>
    </row>
    <row r="24" spans="1:9" ht="30" customHeight="1" x14ac:dyDescent="0.25">
      <c r="A24" s="82">
        <v>1990</v>
      </c>
      <c r="B24" s="82">
        <v>1989</v>
      </c>
      <c r="C24" s="36"/>
      <c r="D24" s="36"/>
      <c r="E24" s="36"/>
      <c r="F24" s="36"/>
      <c r="G24" s="36"/>
      <c r="H24" s="36"/>
      <c r="I24" s="36"/>
    </row>
    <row r="25" spans="1:9" ht="30" customHeight="1" x14ac:dyDescent="0.25">
      <c r="A25" s="82">
        <v>1989</v>
      </c>
      <c r="B25" s="82">
        <v>1988</v>
      </c>
      <c r="C25" s="36"/>
      <c r="D25" s="36"/>
      <c r="E25" s="36"/>
      <c r="F25" s="36"/>
      <c r="G25" s="36"/>
      <c r="H25" s="36"/>
      <c r="I25" s="36"/>
    </row>
    <row r="26" spans="1:9" ht="30" customHeight="1" x14ac:dyDescent="0.25">
      <c r="A26" s="82">
        <v>1988</v>
      </c>
      <c r="B26" s="82">
        <v>1987</v>
      </c>
      <c r="C26" s="36"/>
      <c r="D26" s="36"/>
      <c r="E26" s="36"/>
      <c r="F26" s="36"/>
      <c r="G26" s="36"/>
      <c r="H26" s="36"/>
      <c r="I26" s="36"/>
    </row>
    <row r="27" spans="1:9" ht="30" customHeight="1" x14ac:dyDescent="0.25">
      <c r="A27" s="82">
        <v>1987</v>
      </c>
      <c r="B27" s="82">
        <v>1986</v>
      </c>
      <c r="C27" s="36"/>
      <c r="D27" s="36"/>
      <c r="E27" s="36"/>
      <c r="F27" s="36"/>
      <c r="G27" s="36"/>
      <c r="H27" s="36"/>
      <c r="I27" s="36"/>
    </row>
    <row r="28" spans="1:9" ht="30" customHeight="1" x14ac:dyDescent="0.25">
      <c r="A28" s="82">
        <v>1986</v>
      </c>
      <c r="B28" s="82">
        <v>1985</v>
      </c>
    </row>
    <row r="29" spans="1:9" ht="30" customHeight="1" x14ac:dyDescent="0.25">
      <c r="A29" s="82">
        <v>1985</v>
      </c>
      <c r="B29" s="82">
        <v>1984</v>
      </c>
    </row>
    <row r="30" spans="1:9" ht="30" customHeight="1" x14ac:dyDescent="0.25">
      <c r="A30" s="82">
        <v>1984</v>
      </c>
      <c r="B30" s="82">
        <v>1983</v>
      </c>
    </row>
    <row r="31" spans="1:9" ht="30" customHeight="1" x14ac:dyDescent="0.25">
      <c r="A31" s="82">
        <v>1983</v>
      </c>
      <c r="B31" s="82">
        <v>1982</v>
      </c>
    </row>
    <row r="32" spans="1:9" ht="30" customHeight="1" x14ac:dyDescent="0.25">
      <c r="A32" s="82">
        <v>1982</v>
      </c>
      <c r="B32" s="82">
        <v>1981</v>
      </c>
    </row>
    <row r="87" spans="1:2" ht="30" customHeight="1" x14ac:dyDescent="0.25">
      <c r="A87" s="147"/>
      <c r="B87" s="147"/>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sheetData>
  <mergeCells count="1">
    <mergeCell ref="I13:I16"/>
  </mergeCells>
  <hyperlinks>
    <hyperlink ref="G12" r:id="rId1" location="LEGIARTI000006212781" display="http://legifrance.gouv.fr/affichTexteArticle.do;jsessionid=74B6FCBBE75E37F0115D9428F2169E51.tpdjo12v_1?cidTexte=JORFTEXT000000596281&amp;idArticle=LEGIARTI000006212781&amp;dateTexte=20040531&amp;categorieLien=id - LEGIARTI00000621278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workbookViewId="0">
      <pane xSplit="2" ySplit="2" topLeftCell="K3" activePane="bottomRight" state="frozen"/>
      <selection pane="topRight" activeCell="C1" sqref="C1"/>
      <selection pane="bottomLeft" activeCell="A3" sqref="A3"/>
      <selection pane="bottomRight" activeCell="O5" sqref="O5"/>
    </sheetView>
  </sheetViews>
  <sheetFormatPr baseColWidth="10" defaultColWidth="15.7109375" defaultRowHeight="15" x14ac:dyDescent="0.25"/>
  <cols>
    <col min="1" max="2" width="15.7109375" style="72" customWidth="1"/>
    <col min="3" max="5" width="15.7109375" style="35"/>
    <col min="6" max="6" width="22" style="35" customWidth="1"/>
    <col min="7" max="7" width="15.7109375" style="35"/>
    <col min="8" max="8" width="15.7109375" style="35" customWidth="1"/>
    <col min="9" max="11" width="15.7109375" style="35"/>
    <col min="12" max="12" width="43.140625" style="35" customWidth="1"/>
    <col min="13" max="13" width="60.7109375" style="35" customWidth="1"/>
    <col min="14" max="14" width="15.7109375" style="35"/>
    <col min="15" max="15" width="91.7109375" style="35" customWidth="1"/>
    <col min="16" max="16384" width="15.7109375" style="35"/>
  </cols>
  <sheetData>
    <row r="1" spans="1:16" hidden="1" x14ac:dyDescent="0.25">
      <c r="A1" s="224" t="s">
        <v>221</v>
      </c>
      <c r="B1" s="224" t="s">
        <v>222</v>
      </c>
      <c r="C1" s="225" t="s">
        <v>62</v>
      </c>
      <c r="D1" s="28" t="s">
        <v>241</v>
      </c>
      <c r="E1" s="28" t="s">
        <v>242</v>
      </c>
      <c r="F1" s="28" t="s">
        <v>63</v>
      </c>
      <c r="G1" s="28" t="s">
        <v>64</v>
      </c>
      <c r="H1" s="28" t="s">
        <v>65</v>
      </c>
      <c r="I1" s="28" t="s">
        <v>66</v>
      </c>
      <c r="J1" s="28" t="s">
        <v>67</v>
      </c>
      <c r="K1" s="28" t="s">
        <v>68</v>
      </c>
      <c r="L1" s="268"/>
      <c r="M1" s="268"/>
      <c r="N1" s="268"/>
      <c r="O1" s="268"/>
    </row>
    <row r="2" spans="1:16" ht="75" x14ac:dyDescent="0.25">
      <c r="A2" s="224" t="s">
        <v>221</v>
      </c>
      <c r="B2" s="224" t="s">
        <v>222</v>
      </c>
      <c r="C2" s="266" t="s">
        <v>347</v>
      </c>
      <c r="D2" s="267" t="s">
        <v>352</v>
      </c>
      <c r="E2" s="267" t="s">
        <v>351</v>
      </c>
      <c r="F2" s="267" t="s">
        <v>348</v>
      </c>
      <c r="G2" s="267" t="s">
        <v>349</v>
      </c>
      <c r="H2" s="267" t="s">
        <v>350</v>
      </c>
      <c r="I2" s="267" t="s">
        <v>353</v>
      </c>
      <c r="J2" s="267" t="s">
        <v>354</v>
      </c>
      <c r="K2" s="267" t="s">
        <v>355</v>
      </c>
      <c r="L2" s="224" t="s">
        <v>3</v>
      </c>
      <c r="M2" s="224" t="s">
        <v>18</v>
      </c>
      <c r="N2" s="224" t="s">
        <v>4</v>
      </c>
      <c r="O2" s="226" t="s">
        <v>5</v>
      </c>
    </row>
    <row r="3" spans="1:16" s="169" customFormat="1" ht="30" customHeight="1" x14ac:dyDescent="0.25">
      <c r="A3" s="227">
        <v>2012</v>
      </c>
      <c r="B3" s="227">
        <v>2011</v>
      </c>
      <c r="C3" s="228"/>
      <c r="D3" s="182"/>
      <c r="E3" s="182"/>
      <c r="F3" s="40">
        <v>0.1</v>
      </c>
      <c r="G3" s="193">
        <f>ROUND(G4*1.021,0)</f>
        <v>430</v>
      </c>
      <c r="H3" s="193">
        <f t="shared" ref="H3:K3" si="0">ROUND(H4*1.021,0)</f>
        <v>943</v>
      </c>
      <c r="I3" s="193">
        <f t="shared" si="0"/>
        <v>14454</v>
      </c>
      <c r="J3" s="193">
        <f t="shared" si="0"/>
        <v>382</v>
      </c>
      <c r="K3" s="193">
        <f t="shared" si="0"/>
        <v>3737</v>
      </c>
      <c r="L3" s="191"/>
      <c r="M3" s="191"/>
      <c r="N3" s="191"/>
      <c r="O3" s="300" t="s">
        <v>406</v>
      </c>
    </row>
    <row r="4" spans="1:16" s="72" customFormat="1" ht="30" customHeight="1" x14ac:dyDescent="0.25">
      <c r="A4" s="227">
        <v>2011</v>
      </c>
      <c r="B4" s="227">
        <v>2010</v>
      </c>
      <c r="C4" s="128"/>
      <c r="D4" s="128"/>
      <c r="E4" s="128"/>
      <c r="F4" s="40">
        <v>0.1</v>
      </c>
      <c r="G4" s="39">
        <v>421</v>
      </c>
      <c r="H4" s="39">
        <v>924</v>
      </c>
      <c r="I4" s="39">
        <v>14157</v>
      </c>
      <c r="J4" s="39">
        <v>374</v>
      </c>
      <c r="K4" s="39">
        <v>3660</v>
      </c>
      <c r="L4" s="229" t="s">
        <v>19</v>
      </c>
      <c r="M4" s="263" t="s">
        <v>389</v>
      </c>
      <c r="N4" s="214">
        <v>40542</v>
      </c>
      <c r="O4" s="300"/>
    </row>
    <row r="5" spans="1:16" s="72" customFormat="1" ht="30" customHeight="1" x14ac:dyDescent="0.25">
      <c r="A5" s="227">
        <v>2010</v>
      </c>
      <c r="B5" s="227">
        <v>2009</v>
      </c>
      <c r="C5" s="128"/>
      <c r="D5" s="128"/>
      <c r="E5" s="128"/>
      <c r="F5" s="40">
        <v>0.1</v>
      </c>
      <c r="G5" s="39">
        <v>415</v>
      </c>
      <c r="H5" s="39">
        <v>910</v>
      </c>
      <c r="I5" s="39">
        <v>13948</v>
      </c>
      <c r="J5" s="39">
        <v>368</v>
      </c>
      <c r="K5" s="39">
        <v>3606</v>
      </c>
      <c r="L5" s="229" t="s">
        <v>20</v>
      </c>
      <c r="M5" s="51" t="s">
        <v>390</v>
      </c>
      <c r="N5" s="214">
        <v>40178</v>
      </c>
      <c r="O5" s="61"/>
    </row>
    <row r="6" spans="1:16" s="72" customFormat="1" ht="30" customHeight="1" x14ac:dyDescent="0.25">
      <c r="A6" s="227">
        <v>2009</v>
      </c>
      <c r="B6" s="227">
        <v>2008</v>
      </c>
      <c r="C6" s="128"/>
      <c r="D6" s="128"/>
      <c r="E6" s="128"/>
      <c r="F6" s="40">
        <v>0.1</v>
      </c>
      <c r="G6" s="39">
        <v>413</v>
      </c>
      <c r="H6" s="39">
        <v>906</v>
      </c>
      <c r="I6" s="39">
        <v>13893</v>
      </c>
      <c r="J6" s="39">
        <v>367</v>
      </c>
      <c r="K6" s="39">
        <v>3592</v>
      </c>
      <c r="L6" s="229" t="s">
        <v>21</v>
      </c>
      <c r="M6" s="51" t="s">
        <v>391</v>
      </c>
      <c r="N6" s="214">
        <v>39810</v>
      </c>
      <c r="O6" s="61"/>
    </row>
    <row r="7" spans="1:16" s="72" customFormat="1" ht="30" customHeight="1" x14ac:dyDescent="0.25">
      <c r="A7" s="227">
        <v>2008</v>
      </c>
      <c r="B7" s="227">
        <v>2007</v>
      </c>
      <c r="C7" s="215"/>
      <c r="D7" s="215"/>
      <c r="E7" s="215"/>
      <c r="F7" s="216">
        <v>0.1</v>
      </c>
      <c r="G7" s="217">
        <v>401</v>
      </c>
      <c r="H7" s="217">
        <v>880</v>
      </c>
      <c r="I7" s="217">
        <v>13501</v>
      </c>
      <c r="J7" s="217">
        <v>357</v>
      </c>
      <c r="K7" s="217">
        <v>3491</v>
      </c>
      <c r="L7" s="220" t="s">
        <v>22</v>
      </c>
      <c r="M7" s="51" t="s">
        <v>392</v>
      </c>
      <c r="N7" s="214">
        <v>39443</v>
      </c>
      <c r="O7" s="61"/>
      <c r="P7" s="118"/>
    </row>
    <row r="8" spans="1:16" s="72" customFormat="1" ht="30" customHeight="1" x14ac:dyDescent="0.25">
      <c r="A8" s="227">
        <v>2007</v>
      </c>
      <c r="B8" s="227">
        <v>2006</v>
      </c>
      <c r="C8" s="215"/>
      <c r="D8" s="215"/>
      <c r="E8" s="215"/>
      <c r="F8" s="216">
        <v>0.1</v>
      </c>
      <c r="G8" s="217">
        <v>396</v>
      </c>
      <c r="H8" s="217">
        <v>869</v>
      </c>
      <c r="I8" s="217">
        <v>13328</v>
      </c>
      <c r="J8" s="217">
        <v>352</v>
      </c>
      <c r="K8" s="217">
        <v>3446</v>
      </c>
      <c r="L8" s="229" t="s">
        <v>23</v>
      </c>
      <c r="M8" s="51" t="s">
        <v>393</v>
      </c>
      <c r="N8" s="214">
        <v>39078</v>
      </c>
      <c r="O8" s="211" t="s">
        <v>73</v>
      </c>
      <c r="P8" s="118"/>
    </row>
    <row r="9" spans="1:16" s="72" customFormat="1" ht="30" customHeight="1" x14ac:dyDescent="0.25">
      <c r="A9" s="227">
        <v>2006</v>
      </c>
      <c r="B9" s="227">
        <v>2005</v>
      </c>
      <c r="C9" s="216">
        <v>0.2</v>
      </c>
      <c r="D9" s="217">
        <v>24020</v>
      </c>
      <c r="E9" s="217">
        <v>120100</v>
      </c>
      <c r="F9" s="216">
        <v>0.1</v>
      </c>
      <c r="G9" s="217">
        <v>389</v>
      </c>
      <c r="H9" s="217">
        <v>854</v>
      </c>
      <c r="I9" s="39">
        <v>13093</v>
      </c>
      <c r="J9" s="217">
        <v>346</v>
      </c>
      <c r="K9" s="217">
        <v>3385</v>
      </c>
      <c r="L9" s="229" t="s">
        <v>24</v>
      </c>
      <c r="M9" s="51" t="s">
        <v>394</v>
      </c>
      <c r="N9" s="214">
        <v>38717</v>
      </c>
      <c r="O9" s="61"/>
      <c r="P9" s="118"/>
    </row>
    <row r="10" spans="1:16" s="72" customFormat="1" ht="30" customHeight="1" x14ac:dyDescent="0.25">
      <c r="A10" s="227">
        <v>2005</v>
      </c>
      <c r="B10" s="227">
        <v>2004</v>
      </c>
      <c r="C10" s="216">
        <v>0.2</v>
      </c>
      <c r="D10" s="217">
        <v>23580</v>
      </c>
      <c r="E10" s="217">
        <v>117900</v>
      </c>
      <c r="F10" s="216">
        <v>0.1</v>
      </c>
      <c r="G10" s="217">
        <v>382</v>
      </c>
      <c r="H10" s="217">
        <v>839</v>
      </c>
      <c r="I10" s="217">
        <v>12862</v>
      </c>
      <c r="J10" s="217">
        <v>340</v>
      </c>
      <c r="K10" s="217">
        <v>3325</v>
      </c>
      <c r="L10" s="229" t="s">
        <v>25</v>
      </c>
      <c r="M10" s="51" t="s">
        <v>395</v>
      </c>
      <c r="N10" s="214">
        <v>38352</v>
      </c>
      <c r="O10" s="61"/>
      <c r="P10" s="118"/>
    </row>
    <row r="11" spans="1:16" s="72" customFormat="1" ht="30" customHeight="1" x14ac:dyDescent="0.25">
      <c r="A11" s="227">
        <v>2004</v>
      </c>
      <c r="B11" s="227">
        <v>2003</v>
      </c>
      <c r="C11" s="216">
        <v>0.2</v>
      </c>
      <c r="D11" s="217">
        <v>23180</v>
      </c>
      <c r="E11" s="217">
        <v>115900</v>
      </c>
      <c r="F11" s="216">
        <v>0.1</v>
      </c>
      <c r="G11" s="217">
        <v>376</v>
      </c>
      <c r="H11" s="217">
        <v>825</v>
      </c>
      <c r="I11" s="217">
        <v>12648</v>
      </c>
      <c r="J11" s="217">
        <v>334</v>
      </c>
      <c r="K11" s="217">
        <v>3269</v>
      </c>
      <c r="L11" s="229" t="s">
        <v>26</v>
      </c>
      <c r="M11" s="51" t="s">
        <v>396</v>
      </c>
      <c r="N11" s="214">
        <v>37986</v>
      </c>
      <c r="O11" s="61"/>
      <c r="P11" s="118"/>
    </row>
    <row r="12" spans="1:16" s="72" customFormat="1" ht="30" customHeight="1" x14ac:dyDescent="0.25">
      <c r="A12" s="227">
        <v>2003</v>
      </c>
      <c r="B12" s="227">
        <v>2002</v>
      </c>
      <c r="C12" s="216">
        <v>0.2</v>
      </c>
      <c r="D12" s="217">
        <v>22780</v>
      </c>
      <c r="E12" s="217">
        <v>113900</v>
      </c>
      <c r="F12" s="216">
        <v>0.1</v>
      </c>
      <c r="G12" s="217">
        <v>370</v>
      </c>
      <c r="H12" s="217">
        <v>811</v>
      </c>
      <c r="I12" s="217">
        <v>12437</v>
      </c>
      <c r="J12" s="217">
        <v>328</v>
      </c>
      <c r="K12" s="217">
        <v>3214</v>
      </c>
      <c r="L12" s="229" t="s">
        <v>27</v>
      </c>
      <c r="M12" s="51" t="s">
        <v>397</v>
      </c>
      <c r="N12" s="214">
        <v>37621</v>
      </c>
      <c r="O12" s="61"/>
      <c r="P12" s="118"/>
    </row>
    <row r="13" spans="1:16" s="72" customFormat="1" ht="30" customHeight="1" x14ac:dyDescent="0.25">
      <c r="A13" s="227">
        <v>2002</v>
      </c>
      <c r="B13" s="227">
        <v>2001</v>
      </c>
      <c r="C13" s="216">
        <v>0.2</v>
      </c>
      <c r="D13" s="217">
        <v>22380</v>
      </c>
      <c r="E13" s="217">
        <v>111900</v>
      </c>
      <c r="F13" s="216">
        <v>0.1</v>
      </c>
      <c r="G13" s="217">
        <v>364</v>
      </c>
      <c r="H13" s="217">
        <v>797</v>
      </c>
      <c r="I13" s="217">
        <v>12229</v>
      </c>
      <c r="J13" s="217">
        <v>323</v>
      </c>
      <c r="K13" s="217">
        <v>3160</v>
      </c>
      <c r="L13" s="229" t="s">
        <v>28</v>
      </c>
      <c r="M13" s="51" t="s">
        <v>398</v>
      </c>
      <c r="N13" s="214">
        <v>37254</v>
      </c>
      <c r="O13" s="61"/>
      <c r="P13" s="118"/>
    </row>
    <row r="14" spans="1:16" s="73" customFormat="1" ht="30" customHeight="1" x14ac:dyDescent="0.25">
      <c r="A14" s="227">
        <v>2001</v>
      </c>
      <c r="B14" s="227">
        <v>2000</v>
      </c>
      <c r="C14" s="216">
        <v>0.2</v>
      </c>
      <c r="D14" s="219">
        <v>144400</v>
      </c>
      <c r="E14" s="219">
        <v>722000</v>
      </c>
      <c r="F14" s="216">
        <v>0.1</v>
      </c>
      <c r="G14" s="219">
        <v>2350</v>
      </c>
      <c r="H14" s="219">
        <v>5140</v>
      </c>
      <c r="I14" s="219">
        <v>78950</v>
      </c>
      <c r="J14" s="219">
        <v>2080</v>
      </c>
      <c r="K14" s="219">
        <v>20400</v>
      </c>
      <c r="L14" s="229" t="s">
        <v>29</v>
      </c>
      <c r="M14" s="51" t="s">
        <v>399</v>
      </c>
      <c r="N14" s="214">
        <v>36891</v>
      </c>
      <c r="O14" s="220"/>
      <c r="P14" s="118"/>
    </row>
    <row r="15" spans="1:16" s="73" customFormat="1" ht="30" customHeight="1" x14ac:dyDescent="0.25">
      <c r="A15" s="227">
        <v>2000</v>
      </c>
      <c r="B15" s="227">
        <v>1999</v>
      </c>
      <c r="C15" s="216">
        <v>0.2</v>
      </c>
      <c r="D15" s="219">
        <v>142200</v>
      </c>
      <c r="E15" s="219">
        <v>711000</v>
      </c>
      <c r="F15" s="216">
        <v>0.1</v>
      </c>
      <c r="G15" s="219">
        <v>2320</v>
      </c>
      <c r="H15" s="219">
        <v>5070</v>
      </c>
      <c r="I15" s="219">
        <v>77850</v>
      </c>
      <c r="J15" s="219">
        <v>2050</v>
      </c>
      <c r="K15" s="219">
        <v>20100</v>
      </c>
      <c r="L15" s="229" t="s">
        <v>106</v>
      </c>
      <c r="M15" s="51" t="s">
        <v>400</v>
      </c>
      <c r="N15" s="214">
        <v>36525</v>
      </c>
      <c r="O15" s="70"/>
      <c r="P15" s="118"/>
    </row>
    <row r="16" spans="1:16" s="73" customFormat="1" ht="30" customHeight="1" x14ac:dyDescent="0.25">
      <c r="A16" s="227">
        <v>1999</v>
      </c>
      <c r="B16" s="227">
        <v>1998</v>
      </c>
      <c r="C16" s="216">
        <v>0.2</v>
      </c>
      <c r="D16" s="219">
        <v>141400</v>
      </c>
      <c r="E16" s="219">
        <v>707000</v>
      </c>
      <c r="F16" s="216">
        <v>0.1</v>
      </c>
      <c r="G16" s="219">
        <v>2310</v>
      </c>
      <c r="H16" s="219">
        <v>5040</v>
      </c>
      <c r="I16" s="219">
        <v>77460</v>
      </c>
      <c r="J16" s="219">
        <v>2040</v>
      </c>
      <c r="K16" s="219">
        <v>20000</v>
      </c>
      <c r="L16" s="229" t="s">
        <v>29</v>
      </c>
      <c r="M16" s="51" t="s">
        <v>401</v>
      </c>
      <c r="N16" s="214">
        <v>36160</v>
      </c>
      <c r="O16" s="70"/>
      <c r="P16" s="118"/>
    </row>
    <row r="17" spans="1:16" s="73" customFormat="1" ht="30" customHeight="1" x14ac:dyDescent="0.25">
      <c r="A17" s="227">
        <v>1998</v>
      </c>
      <c r="B17" s="227">
        <v>1997</v>
      </c>
      <c r="C17" s="216">
        <v>0.2</v>
      </c>
      <c r="D17" s="219">
        <v>140200</v>
      </c>
      <c r="E17" s="219">
        <v>701000</v>
      </c>
      <c r="F17" s="216">
        <v>0.1</v>
      </c>
      <c r="G17" s="219">
        <v>2290</v>
      </c>
      <c r="H17" s="219">
        <v>5000</v>
      </c>
      <c r="I17" s="219">
        <v>76840</v>
      </c>
      <c r="J17" s="219">
        <f>2020</f>
        <v>2020</v>
      </c>
      <c r="K17" s="219">
        <f>24000</f>
        <v>24000</v>
      </c>
      <c r="L17" s="229"/>
      <c r="M17" s="51" t="s">
        <v>402</v>
      </c>
      <c r="N17" s="214">
        <v>35795</v>
      </c>
      <c r="O17" s="212" t="s">
        <v>121</v>
      </c>
      <c r="P17" s="118"/>
    </row>
    <row r="18" spans="1:16" s="73" customFormat="1" ht="30" customHeight="1" x14ac:dyDescent="0.25">
      <c r="A18" s="227">
        <v>1997</v>
      </c>
      <c r="B18" s="227">
        <v>1996</v>
      </c>
      <c r="C18" s="216">
        <v>0.2</v>
      </c>
      <c r="D18" s="219">
        <v>138600</v>
      </c>
      <c r="E18" s="219">
        <v>693000</v>
      </c>
      <c r="F18" s="216">
        <v>0.1</v>
      </c>
      <c r="G18" s="219">
        <v>2270</v>
      </c>
      <c r="H18" s="221"/>
      <c r="I18" s="219">
        <v>76010</v>
      </c>
      <c r="J18" s="219">
        <v>2000</v>
      </c>
      <c r="K18" s="219">
        <v>28000</v>
      </c>
      <c r="L18" s="229"/>
      <c r="M18" s="53" t="s">
        <v>403</v>
      </c>
      <c r="N18" s="214">
        <v>35430</v>
      </c>
      <c r="O18" s="70"/>
      <c r="P18" s="118"/>
    </row>
    <row r="19" spans="1:16" s="73" customFormat="1" ht="30" customHeight="1" x14ac:dyDescent="0.25">
      <c r="A19" s="227">
        <v>1996</v>
      </c>
      <c r="B19" s="227">
        <v>1995</v>
      </c>
      <c r="C19" s="216">
        <v>0.2</v>
      </c>
      <c r="D19" s="219">
        <v>136000</v>
      </c>
      <c r="E19" s="219">
        <v>680000</v>
      </c>
      <c r="F19" s="216">
        <v>0.1</v>
      </c>
      <c r="G19" s="219">
        <v>2230</v>
      </c>
      <c r="H19" s="221"/>
      <c r="I19" s="219">
        <v>74590</v>
      </c>
      <c r="J19" s="219">
        <v>1960</v>
      </c>
      <c r="K19" s="219">
        <v>31900.000000000004</v>
      </c>
      <c r="L19" s="220"/>
      <c r="M19" s="53" t="s">
        <v>404</v>
      </c>
      <c r="N19" s="222">
        <v>35064</v>
      </c>
      <c r="O19" s="70"/>
      <c r="P19" s="118"/>
    </row>
    <row r="20" spans="1:16" s="73" customFormat="1" ht="30" customHeight="1" x14ac:dyDescent="0.25">
      <c r="A20" s="227">
        <v>1995</v>
      </c>
      <c r="B20" s="227">
        <v>1994</v>
      </c>
      <c r="C20" s="216">
        <v>0.2</v>
      </c>
      <c r="D20" s="219">
        <v>133400</v>
      </c>
      <c r="E20" s="219">
        <v>667000</v>
      </c>
      <c r="F20" s="216">
        <v>0.1</v>
      </c>
      <c r="G20" s="219">
        <v>2190</v>
      </c>
      <c r="H20" s="221"/>
      <c r="I20" s="219">
        <v>73270</v>
      </c>
      <c r="J20" s="219">
        <v>1930</v>
      </c>
      <c r="K20" s="219">
        <v>31300.000000000004</v>
      </c>
      <c r="L20" s="230"/>
      <c r="M20" s="53" t="s">
        <v>405</v>
      </c>
      <c r="N20" s="222">
        <v>34698</v>
      </c>
      <c r="O20" s="70"/>
      <c r="P20" s="118"/>
    </row>
    <row r="21" spans="1:16" ht="30" customHeight="1" x14ac:dyDescent="0.25">
      <c r="A21" s="227">
        <v>1994</v>
      </c>
      <c r="B21" s="227">
        <v>1993</v>
      </c>
      <c r="C21" s="216">
        <v>0.2</v>
      </c>
      <c r="D21" s="219">
        <v>131400</v>
      </c>
      <c r="E21" s="219">
        <v>657000</v>
      </c>
      <c r="F21" s="216">
        <v>0.1</v>
      </c>
      <c r="G21" s="219">
        <v>2160</v>
      </c>
      <c r="H21" s="223"/>
      <c r="I21" s="219">
        <v>72250</v>
      </c>
      <c r="J21" s="220"/>
      <c r="K21" s="220"/>
      <c r="L21" s="71"/>
      <c r="M21" s="71"/>
      <c r="N21" s="62"/>
      <c r="O21" s="70"/>
      <c r="P21" s="118"/>
    </row>
    <row r="22" spans="1:16" ht="30" customHeight="1" x14ac:dyDescent="0.25">
      <c r="A22" s="227">
        <v>1993</v>
      </c>
      <c r="B22" s="227">
        <v>1992</v>
      </c>
      <c r="C22" s="216">
        <v>0.2</v>
      </c>
      <c r="D22" s="219">
        <v>128800</v>
      </c>
      <c r="E22" s="219">
        <v>644000</v>
      </c>
      <c r="F22" s="216">
        <v>0.1</v>
      </c>
      <c r="G22" s="220"/>
      <c r="H22" s="223"/>
      <c r="I22" s="219">
        <v>70900</v>
      </c>
      <c r="J22" s="220"/>
      <c r="K22" s="220"/>
      <c r="L22" s="71"/>
      <c r="M22" s="71"/>
      <c r="N22" s="62"/>
      <c r="O22" s="70"/>
      <c r="P22" s="118"/>
    </row>
    <row r="23" spans="1:16" ht="30" customHeight="1" x14ac:dyDescent="0.25">
      <c r="A23" s="227">
        <v>1992</v>
      </c>
      <c r="B23" s="227">
        <v>1991</v>
      </c>
      <c r="C23" s="216">
        <v>0.2</v>
      </c>
      <c r="D23" s="219">
        <v>125200</v>
      </c>
      <c r="E23" s="219">
        <v>626000</v>
      </c>
      <c r="F23" s="216">
        <v>0.1</v>
      </c>
      <c r="G23" s="220"/>
      <c r="H23" s="223"/>
      <c r="I23" s="219">
        <v>68960</v>
      </c>
      <c r="J23" s="220"/>
      <c r="K23" s="220"/>
      <c r="L23" s="220"/>
      <c r="M23" s="220"/>
      <c r="N23" s="220"/>
      <c r="O23" s="220"/>
      <c r="P23" s="118"/>
    </row>
    <row r="24" spans="1:16" ht="30" customHeight="1" x14ac:dyDescent="0.25">
      <c r="A24" s="227">
        <v>1991</v>
      </c>
      <c r="B24" s="227">
        <v>1990</v>
      </c>
      <c r="C24" s="216">
        <v>0.2</v>
      </c>
      <c r="D24" s="219">
        <v>121400</v>
      </c>
      <c r="E24" s="219">
        <v>607000</v>
      </c>
      <c r="F24" s="216">
        <v>0.1</v>
      </c>
      <c r="G24" s="220"/>
      <c r="H24" s="223"/>
      <c r="I24" s="219">
        <v>66950</v>
      </c>
      <c r="J24" s="220"/>
      <c r="K24" s="220"/>
      <c r="L24" s="220"/>
      <c r="M24" s="220"/>
      <c r="N24" s="220"/>
      <c r="O24" s="220"/>
      <c r="P24" s="118"/>
    </row>
    <row r="25" spans="1:16" ht="30" customHeight="1" x14ac:dyDescent="0.25">
      <c r="A25" s="227">
        <v>1990</v>
      </c>
      <c r="B25" s="227">
        <v>1989</v>
      </c>
      <c r="C25" s="216">
        <v>0.2</v>
      </c>
      <c r="D25" s="219">
        <v>117600</v>
      </c>
      <c r="E25" s="219">
        <v>588000</v>
      </c>
      <c r="F25" s="216">
        <v>0.1</v>
      </c>
      <c r="G25" s="219"/>
      <c r="H25" s="223"/>
      <c r="I25" s="219">
        <v>64870</v>
      </c>
      <c r="J25" s="220"/>
      <c r="K25" s="220"/>
      <c r="L25" s="220"/>
      <c r="M25" s="220"/>
      <c r="N25" s="220"/>
      <c r="O25" s="220"/>
      <c r="P25" s="118"/>
    </row>
    <row r="26" spans="1:16" ht="30" customHeight="1" x14ac:dyDescent="0.25">
      <c r="A26" s="227">
        <v>1989</v>
      </c>
      <c r="B26" s="227">
        <v>1988</v>
      </c>
      <c r="C26" s="216">
        <v>0.2</v>
      </c>
      <c r="D26" s="219">
        <v>113800</v>
      </c>
      <c r="E26" s="219">
        <v>569000</v>
      </c>
      <c r="F26" s="216">
        <v>0.1</v>
      </c>
      <c r="G26" s="219">
        <v>1800</v>
      </c>
      <c r="H26" s="223"/>
      <c r="I26" s="219">
        <v>62790</v>
      </c>
      <c r="J26" s="219">
        <v>1800</v>
      </c>
      <c r="K26" s="219">
        <v>26600</v>
      </c>
      <c r="L26" s="220"/>
      <c r="M26" s="220"/>
      <c r="N26" s="220"/>
      <c r="O26" s="238" t="s">
        <v>240</v>
      </c>
      <c r="P26" s="118"/>
    </row>
    <row r="27" spans="1:16" ht="30" customHeight="1" x14ac:dyDescent="0.25">
      <c r="A27" s="227">
        <v>1988</v>
      </c>
      <c r="B27" s="227">
        <v>1987</v>
      </c>
      <c r="C27" s="216">
        <v>0.2</v>
      </c>
      <c r="D27" s="219">
        <v>110800</v>
      </c>
      <c r="E27" s="219">
        <v>554000</v>
      </c>
      <c r="F27" s="216">
        <v>0.1</v>
      </c>
      <c r="G27" s="219">
        <v>1800</v>
      </c>
      <c r="H27" s="223"/>
      <c r="I27" s="219">
        <v>61190</v>
      </c>
      <c r="J27" s="220"/>
      <c r="K27" s="220"/>
      <c r="L27" s="220"/>
      <c r="M27" s="220"/>
      <c r="N27" s="220"/>
      <c r="O27" s="220"/>
      <c r="P27" s="118"/>
    </row>
    <row r="28" spans="1:16" ht="30" customHeight="1" x14ac:dyDescent="0.25">
      <c r="A28" s="227">
        <v>1987</v>
      </c>
      <c r="B28" s="227">
        <v>1986</v>
      </c>
      <c r="C28" s="216">
        <v>0.2</v>
      </c>
      <c r="D28" s="219">
        <v>107200</v>
      </c>
      <c r="E28" s="219">
        <v>536000</v>
      </c>
      <c r="F28" s="216">
        <v>0.1</v>
      </c>
      <c r="G28" s="219">
        <v>1800</v>
      </c>
      <c r="H28" s="223"/>
      <c r="I28" s="219">
        <v>59230</v>
      </c>
      <c r="J28" s="220"/>
      <c r="K28" s="220"/>
      <c r="L28" s="220"/>
      <c r="M28" s="220"/>
      <c r="N28" s="220"/>
      <c r="O28" s="220"/>
      <c r="P28" s="118"/>
    </row>
    <row r="29" spans="1:16" ht="30" customHeight="1" x14ac:dyDescent="0.25">
      <c r="A29" s="227">
        <v>1986</v>
      </c>
      <c r="B29" s="227">
        <v>1985</v>
      </c>
      <c r="C29" s="216">
        <v>0.2</v>
      </c>
      <c r="D29" s="219">
        <v>104600</v>
      </c>
      <c r="E29" s="219">
        <v>523000</v>
      </c>
      <c r="F29" s="216">
        <v>0.1</v>
      </c>
      <c r="G29" s="219">
        <v>1800</v>
      </c>
      <c r="H29" s="223"/>
      <c r="I29" s="219">
        <v>57840</v>
      </c>
      <c r="J29" s="220"/>
      <c r="K29" s="220"/>
      <c r="L29" s="220"/>
      <c r="M29" s="220"/>
      <c r="N29" s="220"/>
      <c r="O29" s="220"/>
      <c r="P29" s="118"/>
    </row>
    <row r="30" spans="1:16" ht="30" customHeight="1" x14ac:dyDescent="0.25">
      <c r="A30" s="227">
        <v>1985</v>
      </c>
      <c r="B30" s="227">
        <v>1984</v>
      </c>
      <c r="C30" s="216">
        <v>0.2</v>
      </c>
      <c r="D30" s="219">
        <v>99000</v>
      </c>
      <c r="E30" s="219">
        <v>495000</v>
      </c>
      <c r="F30" s="216">
        <v>0.1</v>
      </c>
      <c r="G30" s="219">
        <v>1800</v>
      </c>
      <c r="H30" s="223"/>
      <c r="I30" s="219">
        <v>54770</v>
      </c>
      <c r="J30" s="220"/>
      <c r="K30" s="220"/>
      <c r="L30" s="220"/>
      <c r="M30" s="220"/>
      <c r="N30" s="220"/>
      <c r="O30" s="220"/>
      <c r="P30" s="118"/>
    </row>
    <row r="31" spans="1:16" ht="30" customHeight="1" x14ac:dyDescent="0.25">
      <c r="A31" s="227">
        <v>1984</v>
      </c>
      <c r="B31" s="227">
        <v>1983</v>
      </c>
      <c r="C31" s="216">
        <v>0.2</v>
      </c>
      <c r="D31" s="219">
        <v>92000</v>
      </c>
      <c r="E31" s="219">
        <v>460000</v>
      </c>
      <c r="F31" s="216">
        <v>0.1</v>
      </c>
      <c r="G31" s="219">
        <v>1800</v>
      </c>
      <c r="H31" s="223"/>
      <c r="I31" s="219">
        <v>50900</v>
      </c>
      <c r="J31" s="220"/>
      <c r="K31" s="220"/>
      <c r="L31" s="220"/>
      <c r="M31" s="220"/>
      <c r="N31" s="220"/>
      <c r="O31" s="220"/>
      <c r="P31" s="118"/>
    </row>
    <row r="32" spans="1:16" ht="30" customHeight="1" x14ac:dyDescent="0.25">
      <c r="A32" s="227">
        <v>1983</v>
      </c>
      <c r="B32" s="227">
        <v>1982</v>
      </c>
      <c r="C32" s="216">
        <v>0.2</v>
      </c>
      <c r="D32" s="219">
        <v>92000</v>
      </c>
      <c r="E32" s="219">
        <v>460000</v>
      </c>
      <c r="F32" s="216">
        <v>0.1</v>
      </c>
      <c r="G32" s="219">
        <v>1800</v>
      </c>
      <c r="H32" s="223"/>
      <c r="I32" s="219">
        <v>50900</v>
      </c>
      <c r="J32" s="220"/>
      <c r="K32" s="220"/>
      <c r="L32" s="220"/>
      <c r="M32" s="220"/>
      <c r="N32" s="220"/>
      <c r="O32" s="220"/>
      <c r="P32" s="118"/>
    </row>
    <row r="33" spans="1:16" ht="30" customHeight="1" x14ac:dyDescent="0.25">
      <c r="A33" s="227">
        <v>1982</v>
      </c>
      <c r="B33" s="227">
        <v>1981</v>
      </c>
      <c r="C33" s="216">
        <v>0.2</v>
      </c>
      <c r="D33" s="219">
        <v>92000</v>
      </c>
      <c r="E33" s="219">
        <v>460000</v>
      </c>
      <c r="F33" s="216">
        <v>0.1</v>
      </c>
      <c r="G33" s="219">
        <v>1800</v>
      </c>
      <c r="H33" s="223"/>
      <c r="I33" s="219">
        <v>50900</v>
      </c>
      <c r="J33" s="220"/>
      <c r="K33" s="220"/>
      <c r="L33" s="220"/>
      <c r="M33" s="220"/>
      <c r="N33" s="220"/>
      <c r="O33" s="220"/>
      <c r="P33" s="118"/>
    </row>
    <row r="34" spans="1:16" ht="30" customHeight="1" x14ac:dyDescent="0.25">
      <c r="A34" s="227">
        <v>1981</v>
      </c>
      <c r="B34" s="227">
        <v>1980</v>
      </c>
      <c r="C34" s="216">
        <v>0.2</v>
      </c>
      <c r="D34" s="219">
        <v>82000</v>
      </c>
      <c r="E34" s="219">
        <v>410000</v>
      </c>
      <c r="F34" s="216">
        <v>0.1</v>
      </c>
      <c r="G34" s="219">
        <v>1800</v>
      </c>
      <c r="H34" s="223"/>
      <c r="I34" s="219">
        <v>44800</v>
      </c>
      <c r="J34" s="220"/>
      <c r="K34" s="220"/>
      <c r="L34" s="220"/>
      <c r="M34" s="220"/>
      <c r="N34" s="220"/>
      <c r="O34" s="220"/>
      <c r="P34" s="118"/>
    </row>
    <row r="35" spans="1:16" ht="30" customHeight="1" x14ac:dyDescent="0.25">
      <c r="A35" s="227">
        <v>1980</v>
      </c>
      <c r="B35" s="227">
        <v>1979</v>
      </c>
      <c r="C35" s="216">
        <v>0.2</v>
      </c>
      <c r="D35" s="219">
        <v>72000</v>
      </c>
      <c r="E35" s="219">
        <v>360000</v>
      </c>
      <c r="F35" s="216">
        <v>0.1</v>
      </c>
      <c r="G35" s="219">
        <v>1800</v>
      </c>
      <c r="H35" s="223"/>
      <c r="I35" s="219">
        <v>40000</v>
      </c>
      <c r="J35" s="220"/>
      <c r="K35" s="220"/>
      <c r="L35" s="220"/>
      <c r="M35" s="220"/>
      <c r="N35" s="220"/>
      <c r="O35" s="220"/>
      <c r="P35" s="118"/>
    </row>
    <row r="36" spans="1:16" ht="30" customHeight="1" x14ac:dyDescent="0.25">
      <c r="A36" s="227">
        <v>1979</v>
      </c>
      <c r="B36" s="227">
        <v>1978</v>
      </c>
      <c r="C36" s="216">
        <v>0.2</v>
      </c>
      <c r="D36" s="219">
        <v>72000</v>
      </c>
      <c r="E36" s="219">
        <v>360000</v>
      </c>
      <c r="F36" s="216">
        <v>0.1</v>
      </c>
      <c r="G36" s="219">
        <v>1800</v>
      </c>
      <c r="H36" s="223"/>
      <c r="I36" s="223"/>
      <c r="J36" s="220"/>
      <c r="K36" s="220"/>
      <c r="L36" s="220"/>
      <c r="M36" s="220"/>
      <c r="N36" s="220"/>
      <c r="O36" s="220"/>
      <c r="P36" s="118"/>
    </row>
    <row r="37" spans="1:16" ht="30" customHeight="1" x14ac:dyDescent="0.25">
      <c r="A37" s="227">
        <v>1978</v>
      </c>
      <c r="B37" s="227">
        <v>1977</v>
      </c>
      <c r="C37" s="216">
        <v>0.2</v>
      </c>
      <c r="D37" s="219">
        <v>72000</v>
      </c>
      <c r="E37" s="219">
        <v>360000</v>
      </c>
      <c r="F37" s="216">
        <v>0.1</v>
      </c>
      <c r="G37" s="220"/>
      <c r="H37" s="223"/>
      <c r="I37" s="223"/>
      <c r="J37" s="220"/>
      <c r="K37" s="220"/>
      <c r="L37" s="220"/>
      <c r="M37" s="220"/>
      <c r="N37" s="220"/>
      <c r="O37" s="220"/>
      <c r="P37" s="118"/>
    </row>
    <row r="38" spans="1:16" ht="30" customHeight="1" x14ac:dyDescent="0.25">
      <c r="A38" s="227">
        <v>1977</v>
      </c>
      <c r="B38" s="227">
        <v>1976</v>
      </c>
      <c r="C38" s="216">
        <v>0.2</v>
      </c>
      <c r="D38" s="219">
        <v>68000</v>
      </c>
      <c r="E38" s="219">
        <v>340000</v>
      </c>
      <c r="F38" s="216">
        <v>0.1</v>
      </c>
      <c r="G38" s="220"/>
      <c r="H38" s="223"/>
      <c r="I38" s="223"/>
      <c r="J38" s="220"/>
      <c r="K38" s="220"/>
      <c r="L38" s="220"/>
      <c r="M38" s="220"/>
      <c r="N38" s="220"/>
      <c r="O38" s="220"/>
      <c r="P38" s="118"/>
    </row>
    <row r="39" spans="1:16" ht="30" customHeight="1" x14ac:dyDescent="0.25">
      <c r="A39" s="227">
        <v>1976</v>
      </c>
      <c r="B39" s="227">
        <v>1975</v>
      </c>
      <c r="C39" s="216">
        <v>0.2</v>
      </c>
      <c r="D39" s="219">
        <v>68000</v>
      </c>
      <c r="E39" s="219">
        <v>340000</v>
      </c>
      <c r="F39" s="216">
        <v>0.1</v>
      </c>
      <c r="G39" s="220"/>
      <c r="H39" s="223"/>
      <c r="I39" s="223"/>
      <c r="J39" s="220"/>
      <c r="K39" s="220"/>
      <c r="L39" s="220"/>
      <c r="M39" s="220"/>
      <c r="N39" s="220"/>
      <c r="O39" s="220"/>
      <c r="P39" s="118"/>
    </row>
    <row r="40" spans="1:16" ht="30" customHeight="1" x14ac:dyDescent="0.25">
      <c r="A40" s="227">
        <v>1975</v>
      </c>
      <c r="B40" s="227">
        <v>1974</v>
      </c>
      <c r="C40" s="216">
        <v>0.2</v>
      </c>
      <c r="D40" s="219">
        <v>62000</v>
      </c>
      <c r="E40" s="219">
        <v>310000</v>
      </c>
      <c r="F40" s="216">
        <v>0.1</v>
      </c>
      <c r="G40" s="220"/>
      <c r="H40" s="223"/>
      <c r="I40" s="223"/>
      <c r="J40" s="220"/>
      <c r="K40" s="220"/>
      <c r="L40" s="220"/>
      <c r="M40" s="220"/>
      <c r="N40" s="220"/>
      <c r="O40" s="220"/>
      <c r="P40" s="118"/>
    </row>
    <row r="41" spans="1:16" ht="30" customHeight="1" x14ac:dyDescent="0.25">
      <c r="A41" s="227">
        <v>1974</v>
      </c>
      <c r="B41" s="227">
        <v>1973</v>
      </c>
      <c r="C41" s="216">
        <v>0.2</v>
      </c>
      <c r="D41" s="219">
        <v>56000</v>
      </c>
      <c r="E41" s="219">
        <v>280000</v>
      </c>
      <c r="F41" s="216">
        <v>0.1</v>
      </c>
      <c r="G41" s="220"/>
      <c r="H41" s="223"/>
      <c r="I41" s="223"/>
      <c r="J41" s="220"/>
      <c r="K41" s="220"/>
      <c r="L41" s="220"/>
      <c r="M41" s="220"/>
      <c r="N41" s="220"/>
      <c r="O41" s="220"/>
      <c r="P41" s="118"/>
    </row>
    <row r="42" spans="1:16" ht="30" customHeight="1" x14ac:dyDescent="0.25">
      <c r="A42" s="227">
        <v>1973</v>
      </c>
      <c r="B42" s="227">
        <v>1972</v>
      </c>
      <c r="C42" s="216">
        <v>0.2</v>
      </c>
      <c r="D42" s="221"/>
      <c r="E42" s="221"/>
      <c r="F42" s="216">
        <v>0.1</v>
      </c>
      <c r="G42" s="220"/>
      <c r="H42" s="223"/>
      <c r="I42" s="223"/>
      <c r="J42" s="220"/>
      <c r="K42" s="220"/>
      <c r="L42" s="220"/>
      <c r="M42" s="220"/>
      <c r="N42" s="220"/>
      <c r="O42" s="220"/>
      <c r="P42" s="118"/>
    </row>
    <row r="43" spans="1:16" ht="30" customHeight="1" x14ac:dyDescent="0.25">
      <c r="A43" s="227">
        <v>1972</v>
      </c>
      <c r="B43" s="227">
        <v>1971</v>
      </c>
      <c r="C43" s="216">
        <v>0.2</v>
      </c>
      <c r="D43" s="221"/>
      <c r="E43" s="221"/>
      <c r="F43" s="216">
        <v>0.1</v>
      </c>
      <c r="G43" s="220"/>
      <c r="H43" s="223"/>
      <c r="I43" s="223"/>
      <c r="J43" s="220"/>
      <c r="K43" s="220"/>
      <c r="L43" s="220"/>
      <c r="M43" s="220"/>
      <c r="N43" s="220"/>
      <c r="O43" s="220"/>
      <c r="P43" s="118"/>
    </row>
    <row r="44" spans="1:16" ht="30" customHeight="1" x14ac:dyDescent="0.25">
      <c r="A44" s="227">
        <v>1971</v>
      </c>
      <c r="B44" s="227">
        <v>1970</v>
      </c>
      <c r="C44" s="216">
        <v>0.2</v>
      </c>
      <c r="D44" s="221"/>
      <c r="E44" s="221"/>
      <c r="F44" s="216">
        <v>0.1</v>
      </c>
      <c r="G44" s="220"/>
      <c r="H44" s="223"/>
      <c r="I44" s="223"/>
      <c r="J44" s="220"/>
      <c r="K44" s="220"/>
      <c r="L44" s="220"/>
      <c r="M44" s="220"/>
      <c r="N44" s="220"/>
      <c r="O44" s="220"/>
      <c r="P44" s="118"/>
    </row>
    <row r="45" spans="1:16" ht="30" customHeight="1" x14ac:dyDescent="0.25">
      <c r="A45" s="227">
        <v>1970</v>
      </c>
      <c r="B45" s="227">
        <v>1969</v>
      </c>
      <c r="C45" s="216">
        <v>0.2</v>
      </c>
      <c r="D45" s="221"/>
      <c r="E45" s="221"/>
      <c r="F45" s="216">
        <v>0.1</v>
      </c>
      <c r="G45" s="220"/>
      <c r="H45" s="223"/>
      <c r="I45" s="223"/>
      <c r="J45" s="220"/>
      <c r="K45" s="220"/>
      <c r="L45" s="220"/>
      <c r="M45" s="220"/>
      <c r="N45" s="220"/>
      <c r="O45" s="220"/>
      <c r="P45" s="118"/>
    </row>
    <row r="46" spans="1:16" ht="30" customHeight="1" x14ac:dyDescent="0.25">
      <c r="A46" s="227">
        <v>1969</v>
      </c>
      <c r="B46" s="227">
        <v>1968</v>
      </c>
      <c r="C46" s="216">
        <v>0.2</v>
      </c>
      <c r="D46" s="221"/>
      <c r="E46" s="221"/>
      <c r="F46" s="216">
        <v>0.1</v>
      </c>
      <c r="G46" s="220"/>
      <c r="H46" s="223"/>
      <c r="I46" s="223"/>
      <c r="J46" s="220"/>
      <c r="K46" s="220"/>
      <c r="L46" s="220"/>
      <c r="M46" s="220"/>
      <c r="N46" s="220"/>
      <c r="O46" s="220"/>
      <c r="P46" s="118"/>
    </row>
    <row r="47" spans="1:16" ht="30" customHeight="1" x14ac:dyDescent="0.25">
      <c r="A47" s="227">
        <v>1968</v>
      </c>
      <c r="B47" s="227">
        <v>1967</v>
      </c>
      <c r="C47" s="216">
        <v>0.2</v>
      </c>
      <c r="D47" s="221"/>
      <c r="E47" s="221"/>
      <c r="F47" s="216">
        <v>0.1</v>
      </c>
      <c r="G47" s="220"/>
      <c r="H47" s="223"/>
      <c r="I47" s="223"/>
      <c r="J47" s="220"/>
      <c r="K47" s="220"/>
      <c r="L47" s="220"/>
      <c r="M47" s="220"/>
      <c r="N47" s="220"/>
      <c r="O47" s="220"/>
      <c r="P47" s="118"/>
    </row>
    <row r="48" spans="1:16" ht="30" customHeight="1" x14ac:dyDescent="0.25">
      <c r="A48" s="227">
        <v>1967</v>
      </c>
      <c r="B48" s="227">
        <v>1966</v>
      </c>
      <c r="C48" s="216">
        <v>0.2</v>
      </c>
      <c r="D48" s="221"/>
      <c r="E48" s="221"/>
      <c r="F48" s="216">
        <v>0.1</v>
      </c>
      <c r="G48" s="220"/>
      <c r="H48" s="223"/>
      <c r="I48" s="223"/>
      <c r="J48" s="220"/>
      <c r="K48" s="220"/>
      <c r="L48" s="220"/>
      <c r="M48" s="220"/>
      <c r="N48" s="220"/>
      <c r="O48" s="220"/>
      <c r="P48" s="118"/>
    </row>
    <row r="49" spans="1:16" ht="30" customHeight="1" x14ac:dyDescent="0.25">
      <c r="A49" s="227">
        <v>1966</v>
      </c>
      <c r="B49" s="227">
        <v>1965</v>
      </c>
      <c r="C49" s="216">
        <v>0.2</v>
      </c>
      <c r="D49" s="221"/>
      <c r="E49" s="221"/>
      <c r="F49" s="216">
        <v>0.1</v>
      </c>
      <c r="G49" s="220"/>
      <c r="H49" s="223"/>
      <c r="I49" s="223"/>
      <c r="J49" s="220"/>
      <c r="K49" s="220"/>
      <c r="L49" s="220"/>
      <c r="M49" s="220"/>
      <c r="N49" s="220"/>
      <c r="O49" s="220"/>
      <c r="P49" s="118"/>
    </row>
    <row r="50" spans="1:16" ht="30" customHeight="1" x14ac:dyDescent="0.25">
      <c r="A50" s="227">
        <v>1965</v>
      </c>
      <c r="B50" s="227">
        <v>1964</v>
      </c>
      <c r="C50" s="216">
        <v>0.2</v>
      </c>
      <c r="D50" s="221"/>
      <c r="E50" s="221"/>
      <c r="F50" s="216">
        <v>0.1</v>
      </c>
      <c r="G50" s="220"/>
      <c r="H50" s="223"/>
      <c r="I50" s="223"/>
      <c r="J50" s="220"/>
      <c r="K50" s="220"/>
      <c r="L50" s="220"/>
      <c r="M50" s="220"/>
      <c r="N50" s="220"/>
      <c r="O50" s="220"/>
      <c r="P50" s="118"/>
    </row>
    <row r="51" spans="1:16" ht="30" customHeight="1" x14ac:dyDescent="0.25">
      <c r="A51" s="227">
        <v>1964</v>
      </c>
      <c r="B51" s="227">
        <v>1963</v>
      </c>
      <c r="C51" s="216">
        <v>0.2</v>
      </c>
      <c r="D51" s="221"/>
      <c r="E51" s="221"/>
      <c r="F51" s="216">
        <v>0.1</v>
      </c>
      <c r="G51" s="220"/>
      <c r="H51" s="223"/>
      <c r="I51" s="223"/>
      <c r="J51" s="220"/>
      <c r="K51" s="220"/>
      <c r="L51" s="220"/>
      <c r="M51" s="220"/>
      <c r="N51" s="220"/>
      <c r="O51" s="220"/>
      <c r="P51" s="118"/>
    </row>
    <row r="52" spans="1:16" ht="30" customHeight="1" x14ac:dyDescent="0.25">
      <c r="A52" s="227">
        <v>1963</v>
      </c>
      <c r="B52" s="227">
        <v>1962</v>
      </c>
      <c r="C52" s="216">
        <v>0.2</v>
      </c>
      <c r="D52" s="221"/>
      <c r="E52" s="221"/>
      <c r="F52" s="216">
        <v>0.1</v>
      </c>
      <c r="G52" s="220"/>
      <c r="H52" s="223"/>
      <c r="I52" s="223"/>
      <c r="J52" s="220"/>
      <c r="K52" s="220"/>
      <c r="L52" s="220"/>
      <c r="M52" s="220"/>
      <c r="N52" s="220"/>
      <c r="O52" s="220"/>
      <c r="P52" s="118"/>
    </row>
    <row r="53" spans="1:16" ht="30" customHeight="1" x14ac:dyDescent="0.25">
      <c r="A53" s="227">
        <v>1962</v>
      </c>
      <c r="B53" s="227">
        <v>1961</v>
      </c>
      <c r="C53" s="216">
        <v>0.2</v>
      </c>
      <c r="D53" s="221"/>
      <c r="E53" s="221"/>
      <c r="F53" s="216">
        <v>0.1</v>
      </c>
      <c r="G53" s="220"/>
      <c r="H53" s="223"/>
      <c r="I53" s="223"/>
      <c r="J53" s="220"/>
      <c r="K53" s="220"/>
      <c r="L53" s="220"/>
      <c r="M53" s="220"/>
      <c r="N53" s="220"/>
      <c r="O53" s="220"/>
      <c r="P53" s="118"/>
    </row>
    <row r="54" spans="1:16" ht="30" customHeight="1" x14ac:dyDescent="0.25">
      <c r="A54" s="227">
        <v>1961</v>
      </c>
      <c r="B54" s="227">
        <v>1960</v>
      </c>
      <c r="C54" s="216">
        <v>0.2</v>
      </c>
      <c r="D54" s="221"/>
      <c r="E54" s="221"/>
      <c r="F54" s="216">
        <v>0.1</v>
      </c>
      <c r="G54" s="220"/>
      <c r="H54" s="223"/>
      <c r="I54" s="223"/>
      <c r="J54" s="220"/>
      <c r="K54" s="220"/>
      <c r="L54" s="220"/>
      <c r="M54" s="220"/>
      <c r="N54" s="220"/>
      <c r="O54" s="220"/>
      <c r="P54" s="118"/>
    </row>
    <row r="55" spans="1:16" ht="30" customHeight="1" x14ac:dyDescent="0.25">
      <c r="A55" s="227">
        <v>1960</v>
      </c>
      <c r="B55" s="227">
        <v>1959</v>
      </c>
      <c r="C55" s="216">
        <v>0.19</v>
      </c>
      <c r="D55" s="221"/>
      <c r="E55" s="221"/>
      <c r="F55" s="216">
        <v>0.1</v>
      </c>
      <c r="G55" s="220"/>
      <c r="H55" s="223"/>
      <c r="I55" s="223"/>
      <c r="J55" s="220"/>
      <c r="K55" s="220"/>
      <c r="L55" s="220"/>
      <c r="M55" s="220"/>
      <c r="N55" s="220"/>
      <c r="O55" s="220"/>
      <c r="P55" s="118"/>
    </row>
    <row r="56" spans="1:16" ht="30" customHeight="1" x14ac:dyDescent="0.25">
      <c r="A56" s="227">
        <v>1959</v>
      </c>
      <c r="B56" s="227">
        <v>1958</v>
      </c>
      <c r="C56" s="216">
        <v>0.15</v>
      </c>
      <c r="D56" s="221"/>
      <c r="E56" s="221"/>
      <c r="F56" s="216">
        <v>0.1</v>
      </c>
      <c r="G56" s="220"/>
      <c r="H56" s="223"/>
      <c r="I56" s="223"/>
      <c r="J56" s="220"/>
      <c r="K56" s="220"/>
      <c r="L56" s="220"/>
      <c r="M56" s="220"/>
      <c r="N56" s="220"/>
      <c r="O56" s="220"/>
      <c r="P56" s="118"/>
    </row>
    <row r="57" spans="1:16" ht="30" customHeight="1" x14ac:dyDescent="0.25">
      <c r="A57" s="227">
        <v>1958</v>
      </c>
      <c r="B57" s="227">
        <v>1957</v>
      </c>
      <c r="C57" s="216">
        <v>0.15</v>
      </c>
      <c r="D57" s="221"/>
      <c r="E57" s="221"/>
      <c r="F57" s="216">
        <v>0.1</v>
      </c>
      <c r="G57" s="220"/>
      <c r="H57" s="223"/>
      <c r="I57" s="223"/>
      <c r="J57" s="220"/>
      <c r="K57" s="220"/>
      <c r="L57" s="220"/>
      <c r="M57" s="220"/>
      <c r="N57" s="220"/>
      <c r="O57" s="220"/>
      <c r="P57" s="118"/>
    </row>
    <row r="58" spans="1:16" ht="30" customHeight="1" x14ac:dyDescent="0.25">
      <c r="A58" s="227">
        <v>1957</v>
      </c>
      <c r="B58" s="227">
        <v>1956</v>
      </c>
      <c r="C58" s="216">
        <v>0.15</v>
      </c>
      <c r="D58" s="221"/>
      <c r="E58" s="221"/>
      <c r="F58" s="216">
        <v>0.1</v>
      </c>
      <c r="G58" s="220"/>
      <c r="H58" s="223"/>
      <c r="I58" s="223"/>
      <c r="J58" s="220"/>
      <c r="K58" s="220"/>
      <c r="L58" s="220"/>
      <c r="M58" s="220"/>
      <c r="N58" s="220"/>
      <c r="O58" s="220"/>
      <c r="P58" s="118"/>
    </row>
    <row r="59" spans="1:16" ht="30" customHeight="1" x14ac:dyDescent="0.25">
      <c r="A59" s="227">
        <v>1956</v>
      </c>
      <c r="B59" s="227">
        <v>1955</v>
      </c>
      <c r="C59" s="216">
        <v>0.15</v>
      </c>
      <c r="D59" s="221"/>
      <c r="E59" s="221"/>
      <c r="F59" s="216">
        <v>0.1</v>
      </c>
      <c r="G59" s="220"/>
      <c r="H59" s="223"/>
      <c r="I59" s="223"/>
      <c r="J59" s="220"/>
      <c r="K59" s="220"/>
      <c r="L59" s="220"/>
      <c r="M59" s="220"/>
      <c r="N59" s="220"/>
      <c r="O59" s="220"/>
      <c r="P59" s="118"/>
    </row>
    <row r="60" spans="1:16" ht="30" customHeight="1" x14ac:dyDescent="0.25">
      <c r="A60" s="227">
        <v>1955</v>
      </c>
      <c r="B60" s="227">
        <v>1954</v>
      </c>
      <c r="C60" s="216">
        <v>0.15</v>
      </c>
      <c r="D60" s="221"/>
      <c r="E60" s="221"/>
      <c r="F60" s="216">
        <v>0.1</v>
      </c>
      <c r="G60" s="220"/>
      <c r="H60" s="223"/>
      <c r="I60" s="223"/>
      <c r="J60" s="220"/>
      <c r="K60" s="220"/>
      <c r="L60" s="220"/>
      <c r="M60" s="220"/>
      <c r="N60" s="220"/>
      <c r="O60" s="220"/>
      <c r="P60" s="118"/>
    </row>
    <row r="61" spans="1:16" ht="30" customHeight="1" x14ac:dyDescent="0.25">
      <c r="A61" s="227">
        <v>1954</v>
      </c>
      <c r="B61" s="227">
        <v>1953</v>
      </c>
      <c r="C61" s="216">
        <v>0.1</v>
      </c>
      <c r="D61" s="223"/>
      <c r="E61" s="223"/>
      <c r="F61" s="216">
        <v>0.1</v>
      </c>
      <c r="G61" s="220"/>
      <c r="H61" s="223"/>
      <c r="I61" s="223"/>
      <c r="J61" s="220"/>
      <c r="K61" s="220"/>
      <c r="L61" s="220"/>
      <c r="M61" s="220"/>
      <c r="N61" s="220"/>
      <c r="O61" s="220"/>
      <c r="P61" s="118"/>
    </row>
    <row r="62" spans="1:16" ht="30" customHeight="1" x14ac:dyDescent="0.25">
      <c r="A62" s="227">
        <v>1953</v>
      </c>
      <c r="B62" s="227">
        <v>1952</v>
      </c>
      <c r="C62" s="223"/>
      <c r="D62" s="223"/>
      <c r="E62" s="223"/>
      <c r="F62" s="216">
        <v>0.1</v>
      </c>
      <c r="G62" s="220"/>
      <c r="H62" s="223"/>
      <c r="I62" s="223"/>
      <c r="J62" s="220"/>
      <c r="K62" s="220"/>
      <c r="L62" s="220"/>
      <c r="M62" s="220"/>
      <c r="N62" s="220"/>
      <c r="O62" s="220"/>
      <c r="P62" s="118"/>
    </row>
    <row r="63" spans="1:16" ht="30" customHeight="1" x14ac:dyDescent="0.25">
      <c r="A63" s="227">
        <v>1952</v>
      </c>
      <c r="B63" s="227">
        <v>1951</v>
      </c>
      <c r="C63" s="223"/>
      <c r="D63" s="223"/>
      <c r="E63" s="223"/>
      <c r="F63" s="216">
        <v>0.1</v>
      </c>
      <c r="G63" s="220"/>
      <c r="H63" s="223"/>
      <c r="I63" s="220"/>
      <c r="J63" s="220"/>
      <c r="K63" s="220"/>
      <c r="L63" s="220"/>
      <c r="M63" s="220"/>
      <c r="N63" s="220"/>
      <c r="O63" s="220"/>
      <c r="P63" s="118"/>
    </row>
    <row r="64" spans="1:16" ht="30" customHeight="1" x14ac:dyDescent="0.25">
      <c r="A64" s="227">
        <v>1951</v>
      </c>
      <c r="B64" s="227">
        <v>1950</v>
      </c>
      <c r="C64" s="223"/>
      <c r="D64" s="223"/>
      <c r="E64" s="223"/>
      <c r="F64" s="216">
        <v>0.1</v>
      </c>
      <c r="G64" s="220"/>
      <c r="H64" s="223"/>
      <c r="I64" s="220"/>
      <c r="J64" s="220"/>
      <c r="K64" s="220"/>
      <c r="L64" s="220"/>
      <c r="M64" s="220"/>
      <c r="N64" s="220"/>
      <c r="O64" s="220"/>
      <c r="P64" s="118"/>
    </row>
    <row r="65" spans="1:16" ht="30" customHeight="1" x14ac:dyDescent="0.25">
      <c r="A65" s="227">
        <v>1950</v>
      </c>
      <c r="B65" s="227">
        <v>1949</v>
      </c>
      <c r="C65" s="223"/>
      <c r="D65" s="223"/>
      <c r="E65" s="223"/>
      <c r="F65" s="216">
        <v>0.1</v>
      </c>
      <c r="G65" s="220"/>
      <c r="H65" s="223"/>
      <c r="I65" s="220"/>
      <c r="J65" s="220"/>
      <c r="K65" s="220"/>
      <c r="L65" s="220"/>
      <c r="M65" s="220"/>
      <c r="N65" s="220"/>
      <c r="O65" s="220"/>
      <c r="P65" s="118"/>
    </row>
    <row r="66" spans="1:16" ht="30" customHeight="1" x14ac:dyDescent="0.25">
      <c r="A66" s="227">
        <v>1949</v>
      </c>
      <c r="B66" s="227">
        <v>1948</v>
      </c>
      <c r="C66" s="223"/>
      <c r="D66" s="223"/>
      <c r="E66" s="223"/>
      <c r="F66" s="216">
        <v>0.1</v>
      </c>
      <c r="G66" s="220"/>
      <c r="H66" s="223"/>
      <c r="I66" s="220"/>
      <c r="J66" s="220"/>
      <c r="K66" s="220"/>
      <c r="L66" s="220"/>
      <c r="M66" s="220"/>
      <c r="N66" s="220"/>
      <c r="O66" s="220"/>
      <c r="P66" s="118"/>
    </row>
    <row r="67" spans="1:16" ht="30" customHeight="1" x14ac:dyDescent="0.25">
      <c r="A67" s="227">
        <v>1948</v>
      </c>
      <c r="B67" s="227">
        <v>1947</v>
      </c>
      <c r="C67" s="223"/>
      <c r="D67" s="223"/>
      <c r="E67" s="223"/>
      <c r="F67" s="216">
        <v>0.1</v>
      </c>
      <c r="G67" s="220"/>
      <c r="H67" s="223"/>
      <c r="I67" s="220"/>
      <c r="J67" s="220"/>
      <c r="K67" s="220"/>
      <c r="L67" s="220"/>
      <c r="M67" s="220"/>
      <c r="N67" s="220"/>
      <c r="O67" s="220"/>
      <c r="P67" s="118"/>
    </row>
    <row r="68" spans="1:16" ht="30" customHeight="1" x14ac:dyDescent="0.25">
      <c r="A68" s="227">
        <v>1947</v>
      </c>
      <c r="B68" s="227">
        <v>1946</v>
      </c>
      <c r="C68" s="223"/>
      <c r="D68" s="223"/>
      <c r="E68" s="223"/>
      <c r="F68" s="216">
        <v>0.1</v>
      </c>
      <c r="G68" s="220"/>
      <c r="H68" s="223"/>
      <c r="I68" s="220"/>
      <c r="J68" s="220"/>
      <c r="K68" s="220"/>
      <c r="L68" s="220"/>
      <c r="M68" s="220"/>
      <c r="N68" s="220"/>
      <c r="O68" s="220"/>
      <c r="P68" s="118"/>
    </row>
    <row r="69" spans="1:16" ht="30" customHeight="1" x14ac:dyDescent="0.25">
      <c r="A69" s="227">
        <v>1946</v>
      </c>
      <c r="B69" s="227">
        <v>1945</v>
      </c>
      <c r="C69" s="223"/>
      <c r="D69" s="223"/>
      <c r="E69" s="223"/>
      <c r="F69" s="216">
        <v>0.1</v>
      </c>
      <c r="G69" s="220"/>
      <c r="H69" s="223"/>
      <c r="I69" s="220"/>
      <c r="J69" s="220"/>
      <c r="K69" s="220"/>
      <c r="L69" s="220"/>
      <c r="M69" s="220"/>
      <c r="N69" s="220"/>
      <c r="O69" s="220"/>
      <c r="P69" s="118"/>
    </row>
    <row r="70" spans="1:16" ht="30" customHeight="1" x14ac:dyDescent="0.25">
      <c r="A70" s="227">
        <v>1945</v>
      </c>
      <c r="B70" s="227">
        <v>1944</v>
      </c>
      <c r="C70" s="223"/>
      <c r="D70" s="223"/>
      <c r="E70" s="223"/>
      <c r="F70" s="216">
        <v>0.1</v>
      </c>
      <c r="G70" s="220"/>
      <c r="H70" s="223"/>
      <c r="I70" s="220"/>
      <c r="J70" s="220"/>
      <c r="K70" s="220"/>
      <c r="L70" s="220"/>
      <c r="M70" s="220"/>
      <c r="N70" s="220"/>
      <c r="O70" s="220"/>
    </row>
    <row r="88" spans="1:2" x14ac:dyDescent="0.25">
      <c r="A88" s="147"/>
      <c r="B88" s="147"/>
    </row>
    <row r="89" spans="1:2" x14ac:dyDescent="0.25">
      <c r="A89" s="147"/>
      <c r="B89" s="147"/>
    </row>
    <row r="90" spans="1:2" x14ac:dyDescent="0.25">
      <c r="A90" s="147"/>
      <c r="B90" s="147"/>
    </row>
    <row r="91" spans="1:2" x14ac:dyDescent="0.25">
      <c r="A91" s="147"/>
      <c r="B91" s="147"/>
    </row>
    <row r="92" spans="1:2" x14ac:dyDescent="0.25">
      <c r="A92" s="147"/>
      <c r="B92" s="147"/>
    </row>
  </sheetData>
  <mergeCells count="1">
    <mergeCell ref="O3:O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workbookViewId="0">
      <pane xSplit="2" ySplit="2" topLeftCell="C3" activePane="bottomRight" state="frozen"/>
      <selection pane="topRight" activeCell="B1" sqref="B1"/>
      <selection pane="bottomLeft" activeCell="A2" sqref="A2"/>
      <selection pane="bottomRight" activeCell="E7" sqref="E7"/>
    </sheetView>
  </sheetViews>
  <sheetFormatPr baseColWidth="10" defaultColWidth="9.140625" defaultRowHeight="30" customHeight="1" x14ac:dyDescent="0.25"/>
  <cols>
    <col min="1" max="2" width="15.7109375" style="72" customWidth="1"/>
    <col min="3" max="3" width="16.140625" customWidth="1"/>
    <col min="4" max="4" width="16.42578125" customWidth="1"/>
    <col min="5" max="5" width="18.28515625" customWidth="1"/>
    <col min="6" max="6" width="13.28515625" customWidth="1"/>
    <col min="7" max="7" width="31.85546875" customWidth="1"/>
    <col min="8" max="8" width="15.5703125" customWidth="1"/>
    <col min="9" max="9" width="47.5703125" customWidth="1"/>
  </cols>
  <sheetData>
    <row r="1" spans="1:9" ht="30" hidden="1" customHeight="1" x14ac:dyDescent="0.25">
      <c r="A1" s="4" t="s">
        <v>221</v>
      </c>
      <c r="B1" s="4" t="s">
        <v>222</v>
      </c>
      <c r="C1" s="65" t="s">
        <v>82</v>
      </c>
      <c r="D1" s="65" t="s">
        <v>83</v>
      </c>
      <c r="E1" s="65" t="s">
        <v>84</v>
      </c>
      <c r="F1" s="4" t="s">
        <v>3</v>
      </c>
      <c r="G1" s="4" t="s">
        <v>18</v>
      </c>
      <c r="H1" s="4" t="s">
        <v>4</v>
      </c>
      <c r="I1" s="5" t="s">
        <v>5</v>
      </c>
    </row>
    <row r="2" spans="1:9" ht="59.25" customHeight="1" x14ac:dyDescent="0.25">
      <c r="A2" s="4" t="s">
        <v>221</v>
      </c>
      <c r="B2" s="4" t="s">
        <v>222</v>
      </c>
      <c r="C2" s="286" t="s">
        <v>540</v>
      </c>
      <c r="D2" s="286" t="s">
        <v>541</v>
      </c>
      <c r="E2" s="286" t="s">
        <v>542</v>
      </c>
      <c r="F2" s="4" t="s">
        <v>3</v>
      </c>
      <c r="G2" s="4" t="s">
        <v>18</v>
      </c>
      <c r="H2" s="4" t="s">
        <v>4</v>
      </c>
      <c r="I2" s="5" t="s">
        <v>5</v>
      </c>
    </row>
    <row r="3" spans="1:9" ht="30" customHeight="1" x14ac:dyDescent="0.25">
      <c r="A3" s="82">
        <v>2011</v>
      </c>
      <c r="B3" s="82">
        <v>2010</v>
      </c>
      <c r="C3" s="15">
        <f>61</f>
        <v>61</v>
      </c>
      <c r="D3" s="15">
        <f>153</f>
        <v>153</v>
      </c>
      <c r="E3" s="15">
        <f>183</f>
        <v>183</v>
      </c>
      <c r="F3" s="34"/>
      <c r="G3" s="34"/>
      <c r="H3" s="34"/>
      <c r="I3" s="34"/>
    </row>
    <row r="4" spans="1:9" ht="30" customHeight="1" x14ac:dyDescent="0.25">
      <c r="A4" s="82">
        <v>2010</v>
      </c>
      <c r="B4" s="82">
        <v>2009</v>
      </c>
      <c r="C4" s="15">
        <f>61</f>
        <v>61</v>
      </c>
      <c r="D4" s="15">
        <f>153</f>
        <v>153</v>
      </c>
      <c r="E4" s="15">
        <f>183</f>
        <v>183</v>
      </c>
      <c r="F4" s="34"/>
      <c r="G4" s="34"/>
      <c r="H4" s="34"/>
      <c r="I4" s="34"/>
    </row>
    <row r="5" spans="1:9" ht="30" customHeight="1" x14ac:dyDescent="0.25">
      <c r="A5" s="82">
        <v>2009</v>
      </c>
      <c r="B5" s="82">
        <v>2008</v>
      </c>
      <c r="C5" s="15">
        <f>61</f>
        <v>61</v>
      </c>
      <c r="D5" s="15">
        <f>153</f>
        <v>153</v>
      </c>
      <c r="E5" s="15">
        <f>183</f>
        <v>183</v>
      </c>
      <c r="F5" s="34"/>
      <c r="G5" s="34"/>
      <c r="H5" s="34"/>
      <c r="I5" s="34"/>
    </row>
    <row r="6" spans="1:9" ht="30" customHeight="1" x14ac:dyDescent="0.25">
      <c r="A6" s="82">
        <v>2008</v>
      </c>
      <c r="B6" s="82">
        <v>2007</v>
      </c>
      <c r="C6" s="15">
        <f>61</f>
        <v>61</v>
      </c>
      <c r="D6" s="15">
        <f>153</f>
        <v>153</v>
      </c>
      <c r="E6" s="15">
        <f>183</f>
        <v>183</v>
      </c>
      <c r="F6" s="34"/>
      <c r="G6" s="34"/>
      <c r="H6" s="34"/>
      <c r="I6" s="34"/>
    </row>
    <row r="7" spans="1:9" ht="30" customHeight="1" x14ac:dyDescent="0.25">
      <c r="A7" s="82">
        <v>2007</v>
      </c>
      <c r="B7" s="82">
        <v>2006</v>
      </c>
      <c r="C7" s="15">
        <f>61</f>
        <v>61</v>
      </c>
      <c r="D7" s="15">
        <f>153</f>
        <v>153</v>
      </c>
      <c r="E7" s="15">
        <f>183</f>
        <v>183</v>
      </c>
      <c r="F7" s="34"/>
      <c r="G7" s="34"/>
      <c r="H7" s="34"/>
      <c r="I7" s="34"/>
    </row>
    <row r="8" spans="1:9" ht="30" customHeight="1" x14ac:dyDescent="0.25">
      <c r="A8" s="82">
        <v>2006</v>
      </c>
      <c r="B8" s="82">
        <v>2005</v>
      </c>
      <c r="C8" s="15">
        <f>61</f>
        <v>61</v>
      </c>
      <c r="D8" s="15">
        <f>153</f>
        <v>153</v>
      </c>
      <c r="E8" s="15">
        <f>183</f>
        <v>183</v>
      </c>
      <c r="F8" s="34"/>
      <c r="G8" s="34"/>
      <c r="H8" s="34"/>
      <c r="I8" s="34"/>
    </row>
    <row r="9" spans="1:9" ht="30" customHeight="1" x14ac:dyDescent="0.25">
      <c r="A9" s="82">
        <v>2005</v>
      </c>
      <c r="B9" s="82">
        <v>2004</v>
      </c>
      <c r="C9" s="15">
        <v>61</v>
      </c>
      <c r="D9" s="15">
        <v>153</v>
      </c>
      <c r="E9" s="15">
        <v>183</v>
      </c>
      <c r="F9" s="34"/>
      <c r="G9" s="34"/>
      <c r="H9" s="34"/>
      <c r="I9" s="34"/>
    </row>
    <row r="10" spans="1:9" ht="30" customHeight="1" x14ac:dyDescent="0.25">
      <c r="A10" s="82">
        <v>2004</v>
      </c>
      <c r="B10" s="82">
        <v>2003</v>
      </c>
      <c r="C10" s="15">
        <v>61</v>
      </c>
      <c r="D10" s="15">
        <v>153</v>
      </c>
      <c r="E10" s="15">
        <v>183</v>
      </c>
      <c r="F10" s="34"/>
      <c r="G10" s="34"/>
      <c r="H10" s="34"/>
      <c r="I10" s="34"/>
    </row>
    <row r="11" spans="1:9" ht="30" customHeight="1" x14ac:dyDescent="0.25">
      <c r="A11" s="82">
        <v>2003</v>
      </c>
      <c r="B11" s="82">
        <v>2002</v>
      </c>
      <c r="C11" s="15">
        <v>61</v>
      </c>
      <c r="D11" s="15">
        <v>153</v>
      </c>
      <c r="E11" s="15">
        <v>183</v>
      </c>
      <c r="F11" s="34"/>
      <c r="G11" s="34"/>
      <c r="H11" s="34"/>
      <c r="I11" s="34"/>
    </row>
    <row r="12" spans="1:9" ht="30" customHeight="1" x14ac:dyDescent="0.25">
      <c r="A12" s="82">
        <v>2002</v>
      </c>
      <c r="B12" s="82">
        <v>2001</v>
      </c>
      <c r="C12" s="15">
        <v>61</v>
      </c>
      <c r="D12" s="15">
        <v>153</v>
      </c>
      <c r="E12" s="15">
        <v>183</v>
      </c>
      <c r="F12" s="34"/>
      <c r="G12" s="34"/>
      <c r="H12" s="34"/>
      <c r="I12" s="34"/>
    </row>
    <row r="13" spans="1:9" ht="30" customHeight="1" x14ac:dyDescent="0.25">
      <c r="A13" s="82">
        <v>2001</v>
      </c>
      <c r="B13" s="82">
        <v>2000</v>
      </c>
      <c r="C13" s="19">
        <v>400</v>
      </c>
      <c r="D13" s="19">
        <v>1000</v>
      </c>
      <c r="E13" s="19">
        <v>1200</v>
      </c>
      <c r="F13" s="34"/>
      <c r="G13" s="34"/>
      <c r="H13" s="34"/>
      <c r="I13" s="34"/>
    </row>
    <row r="14" spans="1:9" ht="30" customHeight="1" x14ac:dyDescent="0.25">
      <c r="A14" s="82">
        <v>2000</v>
      </c>
      <c r="B14" s="82">
        <v>1999</v>
      </c>
      <c r="C14" s="19">
        <v>400</v>
      </c>
      <c r="D14" s="19">
        <v>1000</v>
      </c>
      <c r="E14" s="19">
        <v>1200</v>
      </c>
      <c r="F14" s="34"/>
      <c r="G14" s="34"/>
      <c r="H14" s="34"/>
      <c r="I14" s="34"/>
    </row>
    <row r="15" spans="1:9" ht="30" customHeight="1" x14ac:dyDescent="0.25">
      <c r="A15" s="82">
        <v>1999</v>
      </c>
      <c r="B15" s="82">
        <v>1998</v>
      </c>
      <c r="C15" s="19">
        <v>400</v>
      </c>
      <c r="D15" s="19">
        <v>1000</v>
      </c>
      <c r="E15" s="19">
        <v>1200</v>
      </c>
      <c r="F15" s="34"/>
      <c r="G15" s="34"/>
      <c r="H15" s="34"/>
      <c r="I15" s="34"/>
    </row>
    <row r="16" spans="1:9" ht="30" customHeight="1" x14ac:dyDescent="0.25">
      <c r="A16" s="82">
        <v>1998</v>
      </c>
      <c r="B16" s="82">
        <v>1997</v>
      </c>
      <c r="C16" s="19">
        <v>400</v>
      </c>
      <c r="D16" s="19">
        <v>1000</v>
      </c>
      <c r="E16" s="19">
        <v>1200</v>
      </c>
      <c r="F16" s="34"/>
      <c r="G16" s="34"/>
      <c r="H16" s="34"/>
      <c r="I16" s="34"/>
    </row>
    <row r="17" spans="1:9" ht="30" customHeight="1" x14ac:dyDescent="0.25">
      <c r="A17" s="82">
        <v>1997</v>
      </c>
      <c r="B17" s="82">
        <v>1996</v>
      </c>
      <c r="C17" s="19">
        <v>400</v>
      </c>
      <c r="D17" s="19">
        <v>1000</v>
      </c>
      <c r="E17" s="19">
        <v>1200</v>
      </c>
      <c r="F17" s="34"/>
      <c r="G17" s="34"/>
      <c r="H17" s="34"/>
      <c r="I17" s="34"/>
    </row>
    <row r="18" spans="1:9" ht="30" customHeight="1" x14ac:dyDescent="0.25">
      <c r="A18" s="82">
        <v>1996</v>
      </c>
      <c r="B18" s="82">
        <v>1995</v>
      </c>
      <c r="C18" s="19">
        <v>400</v>
      </c>
      <c r="D18" s="19">
        <v>1000</v>
      </c>
      <c r="E18" s="19">
        <v>1200</v>
      </c>
      <c r="F18" s="34"/>
      <c r="G18" s="34"/>
      <c r="H18" s="34"/>
      <c r="I18" s="34"/>
    </row>
    <row r="19" spans="1:9" ht="30" customHeight="1" x14ac:dyDescent="0.25">
      <c r="A19" s="82">
        <v>1995</v>
      </c>
      <c r="B19" s="82">
        <v>1994</v>
      </c>
      <c r="C19" s="19">
        <v>400</v>
      </c>
      <c r="D19" s="19">
        <v>1000</v>
      </c>
      <c r="E19" s="19">
        <v>1200</v>
      </c>
      <c r="F19" s="34"/>
      <c r="G19" s="34"/>
      <c r="H19" s="34"/>
      <c r="I19" s="34"/>
    </row>
    <row r="20" spans="1:9" ht="30" customHeight="1" x14ac:dyDescent="0.25">
      <c r="A20" s="82">
        <v>1994</v>
      </c>
      <c r="B20" s="82">
        <v>1993</v>
      </c>
      <c r="C20" s="19">
        <v>400</v>
      </c>
      <c r="D20" s="19">
        <v>1000</v>
      </c>
      <c r="E20" s="19">
        <v>1200</v>
      </c>
      <c r="F20" s="34"/>
      <c r="G20" s="34"/>
      <c r="H20" s="34"/>
      <c r="I20" s="34"/>
    </row>
    <row r="21" spans="1:9" ht="30" customHeight="1" x14ac:dyDescent="0.25">
      <c r="A21" s="82">
        <v>1993</v>
      </c>
      <c r="B21" s="82">
        <v>1992</v>
      </c>
      <c r="C21" s="19">
        <v>400</v>
      </c>
      <c r="D21" s="19">
        <v>1000</v>
      </c>
      <c r="E21" s="19">
        <v>1200</v>
      </c>
      <c r="F21" s="35" t="s">
        <v>118</v>
      </c>
      <c r="G21" s="68" t="s">
        <v>119</v>
      </c>
      <c r="H21" s="77">
        <v>33969</v>
      </c>
      <c r="I21" s="34"/>
    </row>
    <row r="22" spans="1:9" ht="30" customHeight="1" x14ac:dyDescent="0.25">
      <c r="A22" s="82">
        <v>1992</v>
      </c>
      <c r="B22" s="82">
        <v>1991</v>
      </c>
      <c r="C22" s="14"/>
      <c r="D22" s="14"/>
      <c r="E22" s="14"/>
    </row>
    <row r="23" spans="1:9" ht="30" customHeight="1" x14ac:dyDescent="0.25">
      <c r="A23" s="82">
        <v>1991</v>
      </c>
      <c r="B23" s="82">
        <v>1990</v>
      </c>
    </row>
    <row r="24" spans="1:9" ht="30" customHeight="1" x14ac:dyDescent="0.25">
      <c r="A24" s="82">
        <v>1990</v>
      </c>
      <c r="B24" s="82">
        <v>1989</v>
      </c>
    </row>
    <row r="25" spans="1:9" ht="30" customHeight="1" x14ac:dyDescent="0.25">
      <c r="A25" s="82">
        <v>1989</v>
      </c>
      <c r="B25" s="82">
        <v>1988</v>
      </c>
    </row>
    <row r="26" spans="1:9" ht="30" customHeight="1" x14ac:dyDescent="0.25">
      <c r="A26" s="82">
        <v>1988</v>
      </c>
      <c r="B26" s="82">
        <v>1987</v>
      </c>
    </row>
    <row r="27" spans="1:9" ht="30" customHeight="1" x14ac:dyDescent="0.25">
      <c r="A27" s="82">
        <v>1987</v>
      </c>
      <c r="B27" s="82">
        <v>1986</v>
      </c>
    </row>
    <row r="28" spans="1:9" ht="30" customHeight="1" x14ac:dyDescent="0.25">
      <c r="A28" s="82">
        <v>1986</v>
      </c>
      <c r="B28" s="82">
        <v>1985</v>
      </c>
    </row>
    <row r="29" spans="1:9" ht="30" customHeight="1" x14ac:dyDescent="0.25">
      <c r="A29" s="82">
        <v>1985</v>
      </c>
      <c r="B29" s="82">
        <v>1984</v>
      </c>
    </row>
    <row r="30" spans="1:9" ht="30" customHeight="1" x14ac:dyDescent="0.25">
      <c r="A30" s="82">
        <v>1984</v>
      </c>
      <c r="B30" s="82">
        <v>1983</v>
      </c>
    </row>
    <row r="31" spans="1:9" ht="30" customHeight="1" x14ac:dyDescent="0.25">
      <c r="A31" s="82">
        <v>1983</v>
      </c>
      <c r="B31" s="82">
        <v>1982</v>
      </c>
    </row>
    <row r="32" spans="1:9" ht="30" customHeight="1" x14ac:dyDescent="0.25">
      <c r="A32" s="82">
        <v>1982</v>
      </c>
      <c r="B32" s="82">
        <v>1981</v>
      </c>
    </row>
    <row r="87" spans="1:2" ht="30" customHeight="1" x14ac:dyDescent="0.25">
      <c r="A87" s="147"/>
      <c r="B87" s="147"/>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workbookViewId="0">
      <pane xSplit="2" ySplit="2" topLeftCell="C6" activePane="bottomRight" state="frozen"/>
      <selection pane="topRight" activeCell="C1" sqref="C1"/>
      <selection pane="bottomLeft" activeCell="A2" sqref="A2"/>
      <selection pane="bottomRight" activeCell="E12" sqref="E12"/>
    </sheetView>
  </sheetViews>
  <sheetFormatPr baseColWidth="10" defaultColWidth="15.7109375" defaultRowHeight="15" x14ac:dyDescent="0.25"/>
  <cols>
    <col min="1" max="2" width="15.7109375" style="72" customWidth="1"/>
    <col min="3" max="3" width="23.28515625" style="35" customWidth="1"/>
    <col min="4" max="4" width="31.28515625" style="35" customWidth="1"/>
    <col min="5" max="5" width="42.85546875" style="35" customWidth="1"/>
    <col min="6" max="6" width="15.140625" style="35" customWidth="1"/>
    <col min="7" max="7" width="142.85546875" style="35" customWidth="1"/>
    <col min="8" max="16384" width="15.7109375" style="35"/>
  </cols>
  <sheetData>
    <row r="1" spans="1:7" ht="30" hidden="1" customHeight="1" x14ac:dyDescent="0.25">
      <c r="A1" s="4" t="s">
        <v>221</v>
      </c>
      <c r="B1" s="4" t="s">
        <v>222</v>
      </c>
      <c r="C1" s="28" t="s">
        <v>321</v>
      </c>
      <c r="D1" s="28" t="s">
        <v>320</v>
      </c>
      <c r="E1" s="4" t="s">
        <v>179</v>
      </c>
      <c r="F1" s="4" t="s">
        <v>4</v>
      </c>
      <c r="G1" s="5" t="s">
        <v>5</v>
      </c>
    </row>
    <row r="2" spans="1:7" ht="64.5" customHeight="1" x14ac:dyDescent="0.25">
      <c r="A2" s="4" t="s">
        <v>221</v>
      </c>
      <c r="B2" s="4" t="s">
        <v>222</v>
      </c>
      <c r="C2" s="265" t="s">
        <v>548</v>
      </c>
      <c r="D2" s="265" t="s">
        <v>549</v>
      </c>
      <c r="E2" s="4" t="s">
        <v>179</v>
      </c>
      <c r="F2" s="4" t="s">
        <v>4</v>
      </c>
      <c r="G2" s="5" t="s">
        <v>5</v>
      </c>
    </row>
    <row r="3" spans="1:7" s="169" customFormat="1" ht="30" customHeight="1" x14ac:dyDescent="0.25">
      <c r="A3" s="82">
        <v>2012</v>
      </c>
      <c r="B3" s="82">
        <v>2011</v>
      </c>
      <c r="C3" s="66">
        <v>0.25</v>
      </c>
      <c r="D3" s="15">
        <v>10000</v>
      </c>
      <c r="E3" s="177"/>
      <c r="F3" s="177"/>
      <c r="G3" s="178"/>
    </row>
    <row r="4" spans="1:7" s="72" customFormat="1" ht="30" customHeight="1" x14ac:dyDescent="0.25">
      <c r="A4" s="82">
        <v>2011</v>
      </c>
      <c r="B4" s="82">
        <v>2010</v>
      </c>
      <c r="C4" s="66">
        <v>0.25</v>
      </c>
      <c r="D4" s="15">
        <v>10000</v>
      </c>
      <c r="E4" s="2"/>
      <c r="F4" s="52"/>
      <c r="G4" s="135"/>
    </row>
    <row r="5" spans="1:7" s="72" customFormat="1" ht="30" customHeight="1" x14ac:dyDescent="0.25">
      <c r="A5" s="82">
        <v>2010</v>
      </c>
      <c r="B5" s="82">
        <v>2009</v>
      </c>
      <c r="C5" s="66">
        <v>0.25</v>
      </c>
      <c r="D5" s="15">
        <v>10000</v>
      </c>
      <c r="E5" s="2"/>
      <c r="F5" s="52"/>
      <c r="G5" s="96"/>
    </row>
    <row r="6" spans="1:7" s="72" customFormat="1" ht="30" customHeight="1" x14ac:dyDescent="0.25">
      <c r="A6" s="82">
        <v>2009</v>
      </c>
      <c r="B6" s="82">
        <v>2008</v>
      </c>
      <c r="C6" s="66">
        <v>0.25</v>
      </c>
      <c r="D6" s="15">
        <v>10000</v>
      </c>
      <c r="E6" s="2"/>
      <c r="F6" s="52"/>
      <c r="G6" s="61"/>
    </row>
    <row r="7" spans="1:7" s="72" customFormat="1" ht="30" customHeight="1" x14ac:dyDescent="0.25">
      <c r="A7" s="82">
        <v>2008</v>
      </c>
      <c r="B7" s="82">
        <v>2007</v>
      </c>
      <c r="C7" s="66">
        <v>0.25</v>
      </c>
      <c r="D7" s="15">
        <v>10000</v>
      </c>
      <c r="E7" s="2"/>
      <c r="F7" s="52"/>
      <c r="G7" s="61"/>
    </row>
    <row r="8" spans="1:7" s="72" customFormat="1" ht="30" customHeight="1" x14ac:dyDescent="0.25">
      <c r="A8" s="82">
        <v>2007</v>
      </c>
      <c r="B8" s="82">
        <v>2006</v>
      </c>
      <c r="C8" s="66">
        <v>0.25</v>
      </c>
      <c r="D8" s="15">
        <v>10000</v>
      </c>
      <c r="E8" s="94"/>
      <c r="F8" s="52"/>
      <c r="G8" s="54"/>
    </row>
    <row r="9" spans="1:7" s="72" customFormat="1" ht="30" customHeight="1" x14ac:dyDescent="0.25">
      <c r="A9" s="82">
        <v>2006</v>
      </c>
      <c r="B9" s="82">
        <v>2005</v>
      </c>
      <c r="C9" s="66">
        <v>0.25</v>
      </c>
      <c r="D9" s="15">
        <v>3000</v>
      </c>
      <c r="E9" s="83"/>
      <c r="F9" s="52"/>
      <c r="G9" s="61"/>
    </row>
    <row r="10" spans="1:7" s="72" customFormat="1" ht="30" customHeight="1" x14ac:dyDescent="0.25">
      <c r="A10" s="82">
        <v>2005</v>
      </c>
      <c r="B10" s="82">
        <v>2004</v>
      </c>
      <c r="C10" s="66">
        <v>0.25</v>
      </c>
      <c r="D10" s="15">
        <v>3000</v>
      </c>
      <c r="E10" s="88"/>
      <c r="F10" s="52"/>
      <c r="G10" s="96" t="s">
        <v>545</v>
      </c>
    </row>
    <row r="11" spans="1:7" s="72" customFormat="1" ht="30" customHeight="1" x14ac:dyDescent="0.25">
      <c r="A11" s="82">
        <v>2004</v>
      </c>
      <c r="B11" s="82">
        <v>2003</v>
      </c>
      <c r="C11" s="66">
        <v>0.25</v>
      </c>
      <c r="D11" s="15">
        <v>3000</v>
      </c>
      <c r="E11" s="102"/>
      <c r="F11" s="52"/>
      <c r="G11" s="287" t="s">
        <v>546</v>
      </c>
    </row>
    <row r="12" spans="1:7" s="72" customFormat="1" ht="30" customHeight="1" x14ac:dyDescent="0.25">
      <c r="A12" s="82">
        <v>2003</v>
      </c>
      <c r="B12" s="82">
        <v>2002</v>
      </c>
      <c r="C12" s="66">
        <v>0.25</v>
      </c>
      <c r="D12" s="15" t="s">
        <v>295</v>
      </c>
      <c r="E12" s="2"/>
      <c r="F12" s="52"/>
      <c r="G12" s="96"/>
    </row>
    <row r="13" spans="1:7" s="72" customFormat="1" ht="30" customHeight="1" x14ac:dyDescent="0.25">
      <c r="A13" s="82">
        <v>2002</v>
      </c>
      <c r="B13" s="82">
        <v>2001</v>
      </c>
      <c r="C13" s="66">
        <v>0.25</v>
      </c>
      <c r="D13" s="15">
        <v>2300</v>
      </c>
      <c r="E13" s="88"/>
      <c r="F13" s="52"/>
      <c r="G13" s="96" t="s">
        <v>544</v>
      </c>
    </row>
    <row r="14" spans="1:7" s="73" customFormat="1" ht="30" customHeight="1" x14ac:dyDescent="0.25">
      <c r="A14" s="82">
        <v>2001</v>
      </c>
      <c r="B14" s="82">
        <v>2000</v>
      </c>
      <c r="C14" s="66">
        <v>0.25</v>
      </c>
      <c r="D14" s="19">
        <v>15000</v>
      </c>
      <c r="E14" s="83"/>
      <c r="F14" s="52"/>
      <c r="G14" s="284" t="s">
        <v>543</v>
      </c>
    </row>
    <row r="15" spans="1:7" s="73" customFormat="1" ht="30" customHeight="1" x14ac:dyDescent="0.25">
      <c r="A15" s="82">
        <v>2000</v>
      </c>
      <c r="B15" s="82">
        <v>1999</v>
      </c>
      <c r="C15" s="66">
        <v>0.25</v>
      </c>
      <c r="D15" s="19">
        <v>15000</v>
      </c>
      <c r="E15" s="63"/>
      <c r="F15" s="52"/>
      <c r="G15" s="107"/>
    </row>
    <row r="16" spans="1:7" s="73" customFormat="1" ht="30" customHeight="1" x14ac:dyDescent="0.25">
      <c r="A16" s="82">
        <v>1999</v>
      </c>
      <c r="B16" s="82">
        <v>1998</v>
      </c>
      <c r="C16" s="66">
        <v>0.25</v>
      </c>
      <c r="D16" s="19">
        <v>15000</v>
      </c>
      <c r="E16" s="63"/>
      <c r="F16" s="52"/>
      <c r="G16" s="288"/>
    </row>
    <row r="17" spans="1:7" s="73" customFormat="1" ht="30" customHeight="1" x14ac:dyDescent="0.25">
      <c r="A17" s="82">
        <v>1998</v>
      </c>
      <c r="B17" s="82">
        <v>1997</v>
      </c>
      <c r="C17" s="66">
        <v>0.25</v>
      </c>
      <c r="D17" s="19">
        <v>13000</v>
      </c>
      <c r="E17" s="63"/>
      <c r="F17" s="52"/>
      <c r="G17" s="288"/>
    </row>
    <row r="18" spans="1:7" s="73" customFormat="1" ht="30" customHeight="1" x14ac:dyDescent="0.25">
      <c r="A18" s="82">
        <v>1997</v>
      </c>
      <c r="B18" s="82">
        <v>1996</v>
      </c>
      <c r="C18" s="66">
        <v>0.25</v>
      </c>
      <c r="D18" s="19">
        <v>13000</v>
      </c>
      <c r="E18" s="68"/>
      <c r="F18" s="52"/>
      <c r="G18" s="107"/>
    </row>
    <row r="19" spans="1:7" s="73" customFormat="1" ht="30" customHeight="1" x14ac:dyDescent="0.25">
      <c r="A19" s="82">
        <v>1996</v>
      </c>
      <c r="B19" s="82">
        <v>1995</v>
      </c>
      <c r="C19" s="66">
        <v>0.25</v>
      </c>
      <c r="D19" s="19">
        <v>13000</v>
      </c>
      <c r="E19" s="68"/>
      <c r="F19" s="81"/>
      <c r="G19" s="57" t="s">
        <v>547</v>
      </c>
    </row>
    <row r="20" spans="1:7" s="73" customFormat="1" ht="30" customHeight="1" x14ac:dyDescent="0.25">
      <c r="A20" s="82">
        <v>1995</v>
      </c>
      <c r="B20" s="82">
        <v>1994</v>
      </c>
      <c r="C20" s="66"/>
      <c r="D20" s="19"/>
      <c r="E20" s="68"/>
      <c r="F20" s="81"/>
      <c r="G20" s="57"/>
    </row>
    <row r="21" spans="1:7" ht="30" customHeight="1" x14ac:dyDescent="0.25">
      <c r="A21" s="82">
        <v>1994</v>
      </c>
      <c r="B21" s="82">
        <v>1993</v>
      </c>
      <c r="C21" s="36"/>
      <c r="D21" s="36"/>
      <c r="E21" s="71"/>
      <c r="F21" s="62"/>
      <c r="G21" s="57"/>
    </row>
    <row r="22" spans="1:7" ht="30" customHeight="1" x14ac:dyDescent="0.25">
      <c r="A22" s="82">
        <v>1993</v>
      </c>
      <c r="B22" s="82">
        <v>1992</v>
      </c>
      <c r="C22" s="36"/>
      <c r="D22" s="36"/>
      <c r="E22" s="71"/>
      <c r="F22" s="62"/>
      <c r="G22" s="57"/>
    </row>
    <row r="23" spans="1:7" ht="30" customHeight="1" x14ac:dyDescent="0.25">
      <c r="A23" s="82">
        <v>1992</v>
      </c>
      <c r="B23" s="82">
        <v>1991</v>
      </c>
      <c r="C23" s="36"/>
      <c r="D23" s="36"/>
      <c r="E23" s="36"/>
      <c r="F23" s="36"/>
      <c r="G23" s="284"/>
    </row>
    <row r="24" spans="1:7" ht="30" customHeight="1" x14ac:dyDescent="0.25">
      <c r="A24" s="82">
        <v>1991</v>
      </c>
      <c r="B24" s="82">
        <v>1990</v>
      </c>
      <c r="C24" s="36"/>
      <c r="D24" s="36"/>
      <c r="E24" s="36"/>
      <c r="F24" s="36"/>
      <c r="G24" s="36"/>
    </row>
    <row r="25" spans="1:7" ht="30" customHeight="1" x14ac:dyDescent="0.25">
      <c r="A25" s="82">
        <v>1990</v>
      </c>
      <c r="B25" s="82">
        <v>1989</v>
      </c>
      <c r="C25" s="36"/>
      <c r="D25" s="36"/>
      <c r="E25" s="36"/>
      <c r="F25" s="36"/>
      <c r="G25" s="36"/>
    </row>
    <row r="26" spans="1:7" ht="30" customHeight="1" x14ac:dyDescent="0.25">
      <c r="A26" s="82">
        <v>1989</v>
      </c>
      <c r="B26" s="82">
        <v>1988</v>
      </c>
      <c r="C26" s="36"/>
      <c r="D26" s="36"/>
      <c r="E26" s="36"/>
      <c r="F26" s="36"/>
      <c r="G26" s="36"/>
    </row>
    <row r="27" spans="1:7" ht="30" customHeight="1" x14ac:dyDescent="0.25">
      <c r="A27" s="82">
        <v>1988</v>
      </c>
      <c r="B27" s="82">
        <v>1987</v>
      </c>
      <c r="C27" s="36"/>
      <c r="D27" s="36"/>
      <c r="E27" s="36"/>
      <c r="F27" s="36"/>
      <c r="G27" s="36"/>
    </row>
    <row r="28" spans="1:7" ht="30" customHeight="1" x14ac:dyDescent="0.25">
      <c r="A28" s="82">
        <v>1987</v>
      </c>
      <c r="B28" s="82">
        <v>1986</v>
      </c>
      <c r="C28" s="36"/>
      <c r="D28" s="36"/>
      <c r="E28" s="36"/>
      <c r="F28" s="36"/>
      <c r="G28" s="36"/>
    </row>
    <row r="29" spans="1:7" ht="30" customHeight="1" x14ac:dyDescent="0.25">
      <c r="A29" s="82">
        <v>1986</v>
      </c>
      <c r="B29" s="82">
        <v>1985</v>
      </c>
    </row>
    <row r="30" spans="1:7" ht="30" customHeight="1" x14ac:dyDescent="0.25">
      <c r="A30" s="82">
        <v>1985</v>
      </c>
      <c r="B30" s="82">
        <v>1984</v>
      </c>
    </row>
    <row r="31" spans="1:7" ht="30" customHeight="1" x14ac:dyDescent="0.25">
      <c r="A31" s="82">
        <v>1984</v>
      </c>
      <c r="B31" s="82">
        <v>1983</v>
      </c>
    </row>
    <row r="32" spans="1:7" ht="30" customHeight="1" x14ac:dyDescent="0.25">
      <c r="A32" s="82">
        <v>1983</v>
      </c>
      <c r="B32" s="82">
        <v>1982</v>
      </c>
    </row>
    <row r="33" spans="1:2" ht="30" customHeight="1" x14ac:dyDescent="0.25">
      <c r="A33" s="82">
        <v>1982</v>
      </c>
      <c r="B33" s="82">
        <v>1981</v>
      </c>
    </row>
    <row r="88" spans="1:2" x14ac:dyDescent="0.25">
      <c r="A88" s="147"/>
      <c r="B88" s="147"/>
    </row>
    <row r="89" spans="1:2" x14ac:dyDescent="0.25">
      <c r="A89" s="147"/>
      <c r="B89" s="147"/>
    </row>
    <row r="90" spans="1:2" x14ac:dyDescent="0.25">
      <c r="A90" s="147"/>
      <c r="B90" s="147"/>
    </row>
    <row r="91" spans="1:2" x14ac:dyDescent="0.25">
      <c r="A91" s="147"/>
      <c r="B91" s="147"/>
    </row>
    <row r="92" spans="1:2" x14ac:dyDescent="0.25">
      <c r="A92" s="147"/>
      <c r="B92" s="147"/>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pane xSplit="2" ySplit="2" topLeftCell="C4" activePane="bottomRight" state="frozen"/>
      <selection pane="topRight" activeCell="C1" sqref="C1"/>
      <selection pane="bottomLeft" activeCell="A2" sqref="A2"/>
      <selection pane="bottomRight" activeCell="S22" sqref="S22"/>
    </sheetView>
  </sheetViews>
  <sheetFormatPr baseColWidth="10" defaultColWidth="15.7109375" defaultRowHeight="15" x14ac:dyDescent="0.25"/>
  <cols>
    <col min="1" max="2" width="15.7109375" style="72" customWidth="1"/>
    <col min="3" max="3" width="20.85546875" style="35" customWidth="1"/>
    <col min="4" max="4" width="23.42578125" style="35" customWidth="1"/>
    <col min="5" max="5" width="21.85546875" style="35" customWidth="1"/>
    <col min="6" max="6" width="23.7109375" style="35" customWidth="1"/>
    <col min="7" max="7" width="25.42578125" style="35" customWidth="1"/>
    <col min="8" max="8" width="22.85546875" style="35" customWidth="1"/>
    <col min="9" max="9" width="24.7109375" style="35" customWidth="1"/>
    <col min="10" max="10" width="37.140625" style="35" customWidth="1"/>
    <col min="11" max="11" width="15.140625" style="35" customWidth="1"/>
    <col min="12" max="12" width="105.5703125" style="35" customWidth="1"/>
    <col min="13" max="16384" width="15.7109375" style="35"/>
  </cols>
  <sheetData>
    <row r="1" spans="1:12" ht="30" hidden="1" customHeight="1" x14ac:dyDescent="0.25">
      <c r="A1" s="4" t="s">
        <v>221</v>
      </c>
      <c r="B1" s="4" t="s">
        <v>222</v>
      </c>
      <c r="C1" s="225" t="s">
        <v>262</v>
      </c>
      <c r="D1" s="225" t="s">
        <v>265</v>
      </c>
      <c r="E1" s="225" t="s">
        <v>266</v>
      </c>
      <c r="F1" s="225" t="s">
        <v>267</v>
      </c>
      <c r="G1" s="225" t="s">
        <v>268</v>
      </c>
      <c r="H1" s="225" t="s">
        <v>288</v>
      </c>
      <c r="I1" s="225" t="s">
        <v>289</v>
      </c>
      <c r="J1" s="4" t="s">
        <v>260</v>
      </c>
      <c r="K1" s="4" t="s">
        <v>4</v>
      </c>
      <c r="L1" s="5" t="s">
        <v>5</v>
      </c>
    </row>
    <row r="2" spans="1:12" ht="63.75" customHeight="1" x14ac:dyDescent="0.25">
      <c r="A2" s="4" t="s">
        <v>221</v>
      </c>
      <c r="B2" s="4" t="s">
        <v>222</v>
      </c>
      <c r="C2" s="264" t="s">
        <v>587</v>
      </c>
      <c r="D2" s="264" t="s">
        <v>588</v>
      </c>
      <c r="E2" s="264" t="s">
        <v>588</v>
      </c>
      <c r="F2" s="264" t="s">
        <v>588</v>
      </c>
      <c r="G2" s="264" t="s">
        <v>589</v>
      </c>
      <c r="H2" s="264" t="s">
        <v>590</v>
      </c>
      <c r="I2" s="264" t="s">
        <v>591</v>
      </c>
      <c r="J2" s="4" t="s">
        <v>260</v>
      </c>
      <c r="K2" s="4" t="s">
        <v>4</v>
      </c>
      <c r="L2" s="5" t="s">
        <v>5</v>
      </c>
    </row>
    <row r="3" spans="1:12" s="72" customFormat="1" ht="30" customHeight="1" x14ac:dyDescent="0.25">
      <c r="A3" s="82">
        <v>2011</v>
      </c>
      <c r="B3" s="82">
        <v>2010</v>
      </c>
      <c r="C3" s="132"/>
      <c r="D3" s="133"/>
      <c r="E3" s="133"/>
      <c r="F3" s="133"/>
      <c r="G3" s="133"/>
      <c r="H3" s="132"/>
      <c r="I3" s="133"/>
      <c r="J3" s="83"/>
      <c r="K3" s="52"/>
      <c r="L3" s="300"/>
    </row>
    <row r="4" spans="1:12" s="72" customFormat="1" ht="30" customHeight="1" x14ac:dyDescent="0.25">
      <c r="A4" s="82">
        <v>2010</v>
      </c>
      <c r="B4" s="82">
        <v>2009</v>
      </c>
      <c r="C4" s="132"/>
      <c r="D4" s="133"/>
      <c r="E4" s="133"/>
      <c r="F4" s="133"/>
      <c r="G4" s="133"/>
      <c r="H4" s="132"/>
      <c r="I4" s="133"/>
      <c r="J4" s="84"/>
      <c r="K4" s="52"/>
      <c r="L4" s="300"/>
    </row>
    <row r="5" spans="1:12" s="72" customFormat="1" ht="30" customHeight="1" x14ac:dyDescent="0.25">
      <c r="A5" s="82">
        <v>2009</v>
      </c>
      <c r="B5" s="82">
        <v>2008</v>
      </c>
      <c r="C5" s="132"/>
      <c r="D5" s="133"/>
      <c r="E5" s="133"/>
      <c r="F5" s="133"/>
      <c r="G5" s="133"/>
      <c r="H5" s="132"/>
      <c r="I5" s="133"/>
      <c r="J5" s="83"/>
      <c r="K5" s="52"/>
      <c r="L5" s="61"/>
    </row>
    <row r="6" spans="1:12" s="72" customFormat="1" ht="30" customHeight="1" x14ac:dyDescent="0.25">
      <c r="A6" s="82">
        <v>2008</v>
      </c>
      <c r="B6" s="82">
        <v>2007</v>
      </c>
      <c r="C6" s="132"/>
      <c r="D6" s="133"/>
      <c r="E6" s="133"/>
      <c r="F6" s="133"/>
      <c r="G6" s="133"/>
      <c r="H6" s="132"/>
      <c r="I6" s="133"/>
      <c r="J6" s="85"/>
      <c r="K6" s="52"/>
      <c r="L6" s="61"/>
    </row>
    <row r="7" spans="1:12" s="72" customFormat="1" ht="30" customHeight="1" x14ac:dyDescent="0.25">
      <c r="A7" s="82">
        <v>2007</v>
      </c>
      <c r="B7" s="82">
        <v>2006</v>
      </c>
      <c r="C7" s="132"/>
      <c r="D7" s="133"/>
      <c r="E7" s="133"/>
      <c r="F7" s="133"/>
      <c r="G7" s="133"/>
      <c r="H7" s="132"/>
      <c r="I7" s="133"/>
      <c r="J7" s="94"/>
      <c r="K7" s="52"/>
      <c r="L7" s="54"/>
    </row>
    <row r="8" spans="1:12" s="72" customFormat="1" ht="30" customHeight="1" x14ac:dyDescent="0.25">
      <c r="A8" s="82">
        <v>2006</v>
      </c>
      <c r="B8" s="82">
        <v>2005</v>
      </c>
      <c r="C8" s="132"/>
      <c r="D8" s="133"/>
      <c r="E8" s="133"/>
      <c r="F8" s="133"/>
      <c r="G8" s="133"/>
      <c r="H8" s="132"/>
      <c r="I8" s="133"/>
      <c r="J8" s="83"/>
      <c r="K8" s="52"/>
      <c r="L8" s="61"/>
    </row>
    <row r="9" spans="1:12" s="72" customFormat="1" ht="30" customHeight="1" x14ac:dyDescent="0.25">
      <c r="A9" s="82">
        <v>2005</v>
      </c>
      <c r="B9" s="82">
        <v>2004</v>
      </c>
      <c r="C9" s="132"/>
      <c r="D9" s="133"/>
      <c r="E9" s="133"/>
      <c r="F9" s="133"/>
      <c r="G9" s="133"/>
      <c r="H9" s="132"/>
      <c r="I9" s="133"/>
      <c r="J9" s="88"/>
      <c r="K9" s="52"/>
      <c r="L9" s="61"/>
    </row>
    <row r="10" spans="1:12" s="72" customFormat="1" ht="30" customHeight="1" x14ac:dyDescent="0.25">
      <c r="A10" s="82">
        <v>2004</v>
      </c>
      <c r="B10" s="82">
        <v>2003</v>
      </c>
      <c r="C10" s="132"/>
      <c r="D10" s="133"/>
      <c r="E10" s="133"/>
      <c r="F10" s="133"/>
      <c r="G10" s="133"/>
      <c r="H10" s="132"/>
      <c r="I10" s="133"/>
      <c r="J10" s="83"/>
      <c r="K10" s="52"/>
      <c r="L10" s="95"/>
    </row>
    <row r="11" spans="1:12" s="72" customFormat="1" ht="30" customHeight="1" x14ac:dyDescent="0.25">
      <c r="A11" s="82">
        <v>2003</v>
      </c>
      <c r="B11" s="82">
        <v>2002</v>
      </c>
      <c r="C11" s="66">
        <v>0.25</v>
      </c>
      <c r="D11" s="15">
        <v>2287</v>
      </c>
      <c r="E11" s="133"/>
      <c r="F11" s="15" t="s">
        <v>295</v>
      </c>
      <c r="G11" s="15">
        <v>305</v>
      </c>
      <c r="H11" s="132"/>
      <c r="I11" s="133"/>
      <c r="J11" s="83"/>
      <c r="K11" s="52"/>
      <c r="L11" s="61"/>
    </row>
    <row r="12" spans="1:12" s="72" customFormat="1" ht="30" customHeight="1" x14ac:dyDescent="0.25">
      <c r="A12" s="82">
        <v>2002</v>
      </c>
      <c r="B12" s="82">
        <v>2001</v>
      </c>
      <c r="C12" s="66">
        <v>0.25</v>
      </c>
      <c r="D12" s="15">
        <v>2287</v>
      </c>
      <c r="E12" s="133"/>
      <c r="F12" s="15">
        <v>3049</v>
      </c>
      <c r="G12" s="15">
        <v>305</v>
      </c>
      <c r="H12" s="132"/>
      <c r="I12" s="133"/>
      <c r="J12" s="88"/>
      <c r="K12" s="52"/>
      <c r="L12" s="61"/>
    </row>
    <row r="13" spans="1:12" s="73" customFormat="1" ht="30" customHeight="1" x14ac:dyDescent="0.25">
      <c r="A13" s="82">
        <v>2001</v>
      </c>
      <c r="B13" s="82">
        <v>2000</v>
      </c>
      <c r="C13" s="66">
        <v>0.25</v>
      </c>
      <c r="D13" s="19">
        <v>15000</v>
      </c>
      <c r="E13" s="134"/>
      <c r="F13" s="19">
        <v>20000</v>
      </c>
      <c r="G13" s="19">
        <v>2000</v>
      </c>
      <c r="H13" s="132"/>
      <c r="I13" s="134"/>
      <c r="J13" s="83"/>
      <c r="K13" s="52"/>
      <c r="L13" s="36"/>
    </row>
    <row r="14" spans="1:12" s="73" customFormat="1" ht="30" customHeight="1" x14ac:dyDescent="0.25">
      <c r="A14" s="82">
        <v>2000</v>
      </c>
      <c r="B14" s="82">
        <v>1999</v>
      </c>
      <c r="C14" s="66">
        <v>0.25</v>
      </c>
      <c r="D14" s="19">
        <v>15000</v>
      </c>
      <c r="E14" s="134"/>
      <c r="F14" s="19">
        <v>20000</v>
      </c>
      <c r="G14" s="19">
        <v>2000</v>
      </c>
      <c r="H14" s="66">
        <v>0.2</v>
      </c>
      <c r="I14" s="19">
        <v>20000</v>
      </c>
      <c r="J14" s="63"/>
      <c r="K14" s="52"/>
      <c r="L14" s="70"/>
    </row>
    <row r="15" spans="1:12" s="73" customFormat="1" ht="30" customHeight="1" x14ac:dyDescent="0.25">
      <c r="A15" s="82">
        <v>1999</v>
      </c>
      <c r="B15" s="82">
        <v>1998</v>
      </c>
      <c r="C15" s="66">
        <v>0.25</v>
      </c>
      <c r="D15" s="19">
        <v>15000</v>
      </c>
      <c r="E15" s="134"/>
      <c r="F15" s="19">
        <v>20000</v>
      </c>
      <c r="G15" s="19">
        <v>2000</v>
      </c>
      <c r="H15" s="66">
        <v>0.2</v>
      </c>
      <c r="I15" s="19">
        <v>20000</v>
      </c>
      <c r="J15" s="63"/>
      <c r="K15" s="52"/>
      <c r="L15" s="80"/>
    </row>
    <row r="16" spans="1:12" s="73" customFormat="1" ht="30" customHeight="1" x14ac:dyDescent="0.25">
      <c r="A16" s="82">
        <v>1998</v>
      </c>
      <c r="B16" s="82">
        <v>1997</v>
      </c>
      <c r="C16" s="66">
        <v>0.25</v>
      </c>
      <c r="D16" s="19">
        <v>15000</v>
      </c>
      <c r="E16" s="134"/>
      <c r="F16" s="19">
        <v>20000</v>
      </c>
      <c r="G16" s="19">
        <v>2000</v>
      </c>
      <c r="H16" s="66">
        <v>0.2</v>
      </c>
      <c r="I16" s="19">
        <v>20000</v>
      </c>
      <c r="J16" s="63"/>
      <c r="K16" s="52"/>
      <c r="L16" s="80"/>
    </row>
    <row r="17" spans="1:12" s="73" customFormat="1" ht="30" customHeight="1" x14ac:dyDescent="0.25">
      <c r="A17" s="82">
        <v>1997</v>
      </c>
      <c r="B17" s="82">
        <v>1996</v>
      </c>
      <c r="C17" s="66">
        <v>0.25</v>
      </c>
      <c r="D17" s="19">
        <v>15000</v>
      </c>
      <c r="E17" s="19">
        <v>30000</v>
      </c>
      <c r="F17" s="19">
        <v>20000</v>
      </c>
      <c r="G17" s="19">
        <v>2000</v>
      </c>
      <c r="H17" s="66">
        <v>0.25</v>
      </c>
      <c r="I17" s="19">
        <v>15000</v>
      </c>
      <c r="J17" s="68"/>
      <c r="K17" s="52"/>
      <c r="L17" s="281" t="s">
        <v>592</v>
      </c>
    </row>
    <row r="18" spans="1:12" s="73" customFormat="1" ht="30" customHeight="1" x14ac:dyDescent="0.25">
      <c r="A18" s="82">
        <v>1996</v>
      </c>
      <c r="B18" s="82">
        <v>1995</v>
      </c>
      <c r="C18" s="66">
        <v>0.25</v>
      </c>
      <c r="D18" s="19">
        <v>15000</v>
      </c>
      <c r="E18" s="19">
        <v>30000</v>
      </c>
      <c r="F18" s="19">
        <v>20000</v>
      </c>
      <c r="G18" s="19">
        <v>2000</v>
      </c>
      <c r="H18" s="66">
        <v>0.25</v>
      </c>
      <c r="I18" s="19">
        <v>15000</v>
      </c>
      <c r="J18" s="68"/>
      <c r="K18" s="81"/>
      <c r="L18" s="301" t="s">
        <v>593</v>
      </c>
    </row>
    <row r="19" spans="1:12" s="73" customFormat="1" ht="30" customHeight="1" x14ac:dyDescent="0.25">
      <c r="A19" s="82">
        <v>1995</v>
      </c>
      <c r="B19" s="82">
        <v>1994</v>
      </c>
      <c r="C19" s="66"/>
      <c r="D19" s="66"/>
      <c r="E19" s="66"/>
      <c r="F19" s="66"/>
      <c r="G19" s="66"/>
      <c r="H19" s="66"/>
      <c r="I19" s="66"/>
      <c r="J19" s="68"/>
      <c r="K19" s="81"/>
      <c r="L19" s="301"/>
    </row>
    <row r="20" spans="1:12" ht="30" customHeight="1" x14ac:dyDescent="0.25">
      <c r="A20" s="82">
        <v>1994</v>
      </c>
      <c r="B20" s="82">
        <v>1993</v>
      </c>
      <c r="C20" s="36"/>
      <c r="D20" s="36"/>
      <c r="E20" s="36"/>
      <c r="F20" s="36"/>
      <c r="G20" s="36"/>
      <c r="H20" s="36"/>
      <c r="I20" s="36"/>
      <c r="J20" s="71"/>
      <c r="K20" s="62"/>
      <c r="L20" s="301"/>
    </row>
    <row r="21" spans="1:12" ht="30" customHeight="1" x14ac:dyDescent="0.25">
      <c r="A21" s="82">
        <v>1993</v>
      </c>
      <c r="B21" s="82">
        <v>1992</v>
      </c>
      <c r="C21" s="36"/>
      <c r="D21" s="36"/>
      <c r="E21" s="36"/>
      <c r="F21" s="36"/>
      <c r="G21" s="36"/>
      <c r="H21" s="36"/>
      <c r="I21" s="36"/>
      <c r="J21" s="71"/>
      <c r="K21" s="62"/>
      <c r="L21" s="70"/>
    </row>
    <row r="22" spans="1:12" ht="30" customHeight="1" x14ac:dyDescent="0.25">
      <c r="A22" s="82">
        <v>1992</v>
      </c>
      <c r="B22" s="82">
        <v>1991</v>
      </c>
      <c r="C22" s="36"/>
      <c r="D22" s="36"/>
      <c r="E22" s="36"/>
      <c r="F22" s="36"/>
      <c r="G22" s="36"/>
      <c r="H22" s="36"/>
      <c r="I22" s="36"/>
      <c r="J22" s="36"/>
      <c r="K22" s="36"/>
      <c r="L22" s="36"/>
    </row>
    <row r="23" spans="1:12" ht="30" customHeight="1" x14ac:dyDescent="0.25">
      <c r="A23" s="82">
        <v>1991</v>
      </c>
      <c r="B23" s="82">
        <v>1990</v>
      </c>
      <c r="C23" s="36"/>
      <c r="D23" s="36"/>
      <c r="E23" s="36"/>
      <c r="F23" s="36"/>
      <c r="G23" s="36"/>
      <c r="H23" s="36"/>
      <c r="I23" s="36"/>
      <c r="J23" s="36"/>
      <c r="K23" s="36"/>
      <c r="L23" s="36"/>
    </row>
    <row r="24" spans="1:12" ht="30" customHeight="1" x14ac:dyDescent="0.25">
      <c r="A24" s="82">
        <v>1990</v>
      </c>
      <c r="B24" s="82">
        <v>1989</v>
      </c>
      <c r="C24" s="36"/>
      <c r="D24" s="36"/>
      <c r="E24" s="36"/>
      <c r="F24" s="36"/>
      <c r="G24" s="36"/>
      <c r="H24" s="36"/>
      <c r="I24" s="36"/>
      <c r="J24" s="36"/>
      <c r="K24" s="36"/>
      <c r="L24" s="36"/>
    </row>
    <row r="25" spans="1:12" ht="30" customHeight="1" x14ac:dyDescent="0.25">
      <c r="A25" s="82">
        <v>1989</v>
      </c>
      <c r="B25" s="82">
        <v>1988</v>
      </c>
      <c r="C25" s="36"/>
      <c r="D25" s="36"/>
      <c r="E25" s="36"/>
      <c r="F25" s="36"/>
      <c r="G25" s="36"/>
      <c r="H25" s="36"/>
      <c r="I25" s="36"/>
      <c r="J25" s="36"/>
      <c r="K25" s="36"/>
      <c r="L25" s="36"/>
    </row>
    <row r="26" spans="1:12" ht="30" customHeight="1" x14ac:dyDescent="0.25">
      <c r="A26" s="82">
        <v>1988</v>
      </c>
      <c r="B26" s="82">
        <v>1987</v>
      </c>
      <c r="C26" s="36"/>
      <c r="D26" s="36"/>
      <c r="E26" s="36"/>
      <c r="F26" s="36"/>
      <c r="G26" s="36"/>
      <c r="H26" s="36"/>
      <c r="I26" s="36"/>
      <c r="J26" s="36"/>
      <c r="K26" s="36"/>
      <c r="L26" s="36"/>
    </row>
    <row r="27" spans="1:12" ht="30" customHeight="1" x14ac:dyDescent="0.25">
      <c r="A27" s="82">
        <v>1987</v>
      </c>
      <c r="B27" s="82">
        <v>1986</v>
      </c>
      <c r="C27" s="36"/>
      <c r="D27" s="36"/>
      <c r="E27" s="36"/>
      <c r="F27" s="36"/>
      <c r="G27" s="36"/>
      <c r="H27" s="36"/>
      <c r="I27" s="36"/>
      <c r="J27" s="36"/>
      <c r="K27" s="36"/>
      <c r="L27" s="36"/>
    </row>
    <row r="28" spans="1:12" ht="30" customHeight="1" x14ac:dyDescent="0.25">
      <c r="A28" s="82">
        <v>1986</v>
      </c>
      <c r="B28" s="82">
        <v>1985</v>
      </c>
    </row>
    <row r="29" spans="1:12" ht="30" customHeight="1" x14ac:dyDescent="0.25">
      <c r="A29" s="82">
        <v>1985</v>
      </c>
      <c r="B29" s="82">
        <v>1984</v>
      </c>
    </row>
    <row r="30" spans="1:12" ht="30" customHeight="1" x14ac:dyDescent="0.25">
      <c r="A30" s="82">
        <v>1984</v>
      </c>
      <c r="B30" s="82">
        <v>1983</v>
      </c>
    </row>
    <row r="31" spans="1:12" ht="30" customHeight="1" x14ac:dyDescent="0.25">
      <c r="A31" s="82">
        <v>1983</v>
      </c>
      <c r="B31" s="82">
        <v>1982</v>
      </c>
    </row>
    <row r="32" spans="1:12" ht="30" customHeight="1" x14ac:dyDescent="0.25">
      <c r="A32" s="82">
        <v>1982</v>
      </c>
      <c r="B32" s="82">
        <v>1981</v>
      </c>
    </row>
    <row r="87" spans="1:2" x14ac:dyDescent="0.25">
      <c r="A87" s="147"/>
      <c r="B87" s="147"/>
    </row>
    <row r="88" spans="1:2" x14ac:dyDescent="0.25">
      <c r="A88" s="147"/>
      <c r="B88" s="147"/>
    </row>
    <row r="89" spans="1:2" x14ac:dyDescent="0.25">
      <c r="A89" s="147"/>
      <c r="B89" s="147"/>
    </row>
    <row r="90" spans="1:2" x14ac:dyDescent="0.25">
      <c r="A90" s="147"/>
      <c r="B90" s="147"/>
    </row>
    <row r="91" spans="1:2" x14ac:dyDescent="0.25">
      <c r="A91" s="147"/>
      <c r="B91" s="147"/>
    </row>
  </sheetData>
  <mergeCells count="2">
    <mergeCell ref="L3:L4"/>
    <mergeCell ref="L18:L20"/>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pane xSplit="2" ySplit="2" topLeftCell="C3" activePane="bottomRight" state="frozen"/>
      <selection pane="topRight" activeCell="C1" sqref="C1"/>
      <selection pane="bottomLeft" activeCell="A2" sqref="A2"/>
      <selection pane="bottomRight" sqref="A1:XFD1"/>
    </sheetView>
  </sheetViews>
  <sheetFormatPr baseColWidth="10" defaultRowHeight="30" customHeight="1" x14ac:dyDescent="0.25"/>
  <cols>
    <col min="3" max="3" width="26.85546875" customWidth="1"/>
    <col min="4" max="4" width="25.28515625" customWidth="1"/>
    <col min="5" max="5" width="20.42578125" customWidth="1"/>
    <col min="6" max="6" width="21" customWidth="1"/>
    <col min="7" max="7" width="88.7109375" customWidth="1"/>
  </cols>
  <sheetData>
    <row r="1" spans="1:7" ht="30" hidden="1" customHeight="1" x14ac:dyDescent="0.25">
      <c r="A1" s="4" t="s">
        <v>221</v>
      </c>
      <c r="B1" s="4" t="s">
        <v>222</v>
      </c>
      <c r="C1" s="104" t="s">
        <v>313</v>
      </c>
      <c r="D1" s="104" t="s">
        <v>314</v>
      </c>
      <c r="E1" s="104" t="s">
        <v>315</v>
      </c>
      <c r="F1" s="4" t="s">
        <v>4</v>
      </c>
      <c r="G1" s="5" t="s">
        <v>5</v>
      </c>
    </row>
    <row r="2" spans="1:7" ht="64.5" customHeight="1" x14ac:dyDescent="0.25">
      <c r="A2" s="4" t="s">
        <v>221</v>
      </c>
      <c r="B2" s="4" t="s">
        <v>222</v>
      </c>
      <c r="C2" s="276" t="s">
        <v>595</v>
      </c>
      <c r="D2" s="276" t="s">
        <v>596</v>
      </c>
      <c r="E2" s="276" t="s">
        <v>597</v>
      </c>
      <c r="F2" s="4" t="s">
        <v>4</v>
      </c>
      <c r="G2" s="5" t="s">
        <v>5</v>
      </c>
    </row>
    <row r="3" spans="1:7" ht="30" customHeight="1" x14ac:dyDescent="0.25">
      <c r="A3" s="82">
        <v>2011</v>
      </c>
      <c r="B3" s="82">
        <v>2010</v>
      </c>
      <c r="C3" s="132"/>
      <c r="D3" s="128"/>
      <c r="E3" s="158"/>
      <c r="F3" s="52"/>
      <c r="G3" s="152" t="s">
        <v>594</v>
      </c>
    </row>
    <row r="4" spans="1:7" ht="30" customHeight="1" x14ac:dyDescent="0.25">
      <c r="A4" s="82">
        <v>2011</v>
      </c>
      <c r="B4" s="82">
        <v>2010</v>
      </c>
      <c r="C4" s="132"/>
      <c r="D4" s="128"/>
      <c r="E4" s="158"/>
      <c r="F4" s="52"/>
    </row>
    <row r="5" spans="1:7" ht="30" customHeight="1" x14ac:dyDescent="0.25">
      <c r="A5" s="82">
        <v>2010</v>
      </c>
      <c r="B5" s="82">
        <v>2009</v>
      </c>
      <c r="C5" s="66">
        <v>0.4</v>
      </c>
      <c r="D5" s="86">
        <v>20000</v>
      </c>
      <c r="E5" s="155">
        <v>0.25</v>
      </c>
      <c r="F5" s="52"/>
      <c r="G5" s="96"/>
    </row>
    <row r="6" spans="1:7" ht="30" customHeight="1" x14ac:dyDescent="0.25">
      <c r="A6" s="82">
        <v>2009</v>
      </c>
      <c r="B6" s="82">
        <v>2008</v>
      </c>
      <c r="C6" s="132"/>
      <c r="D6" s="128"/>
      <c r="E6" s="158"/>
      <c r="F6" s="52"/>
      <c r="G6" s="61"/>
    </row>
    <row r="7" spans="1:7" ht="30" customHeight="1" x14ac:dyDescent="0.25">
      <c r="A7" s="82">
        <v>2008</v>
      </c>
      <c r="B7" s="82">
        <v>2007</v>
      </c>
      <c r="C7" s="132"/>
      <c r="D7" s="128"/>
      <c r="E7" s="158"/>
      <c r="F7" s="52"/>
      <c r="G7" s="61"/>
    </row>
    <row r="8" spans="1:7" ht="30" customHeight="1" x14ac:dyDescent="0.25">
      <c r="A8" s="82">
        <v>2007</v>
      </c>
      <c r="B8" s="82">
        <v>2006</v>
      </c>
      <c r="C8" s="132"/>
      <c r="D8" s="128"/>
      <c r="E8" s="158"/>
      <c r="F8" s="52"/>
      <c r="G8" s="152"/>
    </row>
    <row r="9" spans="1:7" ht="30" customHeight="1" x14ac:dyDescent="0.25">
      <c r="A9" s="82">
        <v>2006</v>
      </c>
      <c r="B9" s="82">
        <v>2005</v>
      </c>
      <c r="C9" s="132"/>
      <c r="D9" s="128"/>
      <c r="E9" s="158"/>
      <c r="F9" s="52"/>
      <c r="G9" s="61"/>
    </row>
    <row r="10" spans="1:7" ht="30" customHeight="1" x14ac:dyDescent="0.25">
      <c r="A10" s="82">
        <v>2005</v>
      </c>
      <c r="B10" s="82">
        <v>2004</v>
      </c>
      <c r="C10" s="132"/>
      <c r="D10" s="128"/>
      <c r="E10" s="158"/>
      <c r="F10" s="52"/>
      <c r="G10" s="61"/>
    </row>
    <row r="11" spans="1:7" ht="30" customHeight="1" x14ac:dyDescent="0.25">
      <c r="A11" s="82">
        <v>2004</v>
      </c>
      <c r="B11" s="82">
        <v>2003</v>
      </c>
      <c r="C11" s="149"/>
      <c r="D11" s="128"/>
      <c r="E11" s="172"/>
      <c r="F11" s="52"/>
      <c r="G11" s="105"/>
    </row>
    <row r="12" spans="1:7" ht="30" customHeight="1" x14ac:dyDescent="0.25">
      <c r="A12" s="82">
        <v>2003</v>
      </c>
      <c r="B12" s="82">
        <v>2002</v>
      </c>
      <c r="C12" s="149"/>
      <c r="D12" s="128"/>
      <c r="E12" s="172"/>
      <c r="F12" s="52"/>
      <c r="G12" s="61"/>
    </row>
    <row r="13" spans="1:7" ht="30" customHeight="1" x14ac:dyDescent="0.25">
      <c r="A13" s="82">
        <v>2002</v>
      </c>
      <c r="B13" s="82">
        <v>2001</v>
      </c>
      <c r="C13" s="149"/>
      <c r="D13" s="128"/>
      <c r="E13" s="172"/>
      <c r="F13" s="52"/>
      <c r="G13" s="61"/>
    </row>
    <row r="14" spans="1:7" ht="30" customHeight="1" x14ac:dyDescent="0.25">
      <c r="A14" s="82">
        <v>2001</v>
      </c>
      <c r="B14" s="82">
        <v>2000</v>
      </c>
      <c r="C14" s="149"/>
      <c r="D14" s="159"/>
      <c r="E14" s="172"/>
      <c r="F14" s="52"/>
      <c r="G14" s="36"/>
    </row>
    <row r="15" spans="1:7" ht="30" customHeight="1" x14ac:dyDescent="0.25">
      <c r="A15" s="82">
        <v>2000</v>
      </c>
      <c r="B15" s="82">
        <v>1999</v>
      </c>
      <c r="C15" s="149"/>
      <c r="D15" s="159"/>
      <c r="E15" s="172"/>
      <c r="F15" s="52"/>
      <c r="G15" s="70"/>
    </row>
    <row r="16" spans="1:7" ht="30" customHeight="1" x14ac:dyDescent="0.25">
      <c r="A16" s="82">
        <v>1999</v>
      </c>
      <c r="B16" s="82">
        <v>1998</v>
      </c>
      <c r="C16" s="149"/>
      <c r="D16" s="159"/>
      <c r="E16" s="172"/>
      <c r="F16" s="52"/>
      <c r="G16" s="107"/>
    </row>
    <row r="17" spans="1:7" ht="30" customHeight="1" x14ac:dyDescent="0.25">
      <c r="A17" s="82">
        <v>1998</v>
      </c>
      <c r="B17" s="82">
        <v>1997</v>
      </c>
      <c r="C17" s="149"/>
      <c r="D17" s="159"/>
      <c r="E17" s="159"/>
      <c r="F17" s="52"/>
      <c r="G17" s="106"/>
    </row>
    <row r="18" spans="1:7" ht="30" customHeight="1" x14ac:dyDescent="0.25">
      <c r="A18" s="82">
        <v>1997</v>
      </c>
      <c r="B18" s="82">
        <v>1996</v>
      </c>
      <c r="C18" s="149"/>
      <c r="D18" s="159"/>
      <c r="E18" s="159"/>
      <c r="F18" s="52"/>
      <c r="G18" s="70"/>
    </row>
    <row r="19" spans="1:7" ht="30" customHeight="1" x14ac:dyDescent="0.25">
      <c r="A19" s="82">
        <v>1996</v>
      </c>
      <c r="B19" s="82">
        <v>1995</v>
      </c>
      <c r="C19" s="149"/>
      <c r="D19" s="159"/>
      <c r="E19" s="159"/>
      <c r="F19" s="81"/>
      <c r="G19" s="70"/>
    </row>
    <row r="20" spans="1:7" ht="30" customHeight="1" x14ac:dyDescent="0.25">
      <c r="A20" s="82">
        <v>1995</v>
      </c>
      <c r="B20" s="82">
        <v>1994</v>
      </c>
      <c r="C20" s="149"/>
      <c r="D20" s="130"/>
      <c r="E20" s="132"/>
      <c r="F20" s="81"/>
    </row>
    <row r="21" spans="1:7" ht="30" customHeight="1" x14ac:dyDescent="0.25">
      <c r="A21" s="82">
        <v>1994</v>
      </c>
      <c r="B21" s="82">
        <v>1993</v>
      </c>
      <c r="C21" s="36"/>
      <c r="D21" s="36"/>
      <c r="E21" s="71"/>
      <c r="F21" s="62"/>
      <c r="G21" s="96"/>
    </row>
    <row r="22" spans="1:7" ht="30" customHeight="1" x14ac:dyDescent="0.25">
      <c r="A22" s="82">
        <v>1993</v>
      </c>
      <c r="B22" s="82">
        <v>1992</v>
      </c>
      <c r="C22" s="36"/>
      <c r="D22" s="36"/>
      <c r="E22" s="71"/>
      <c r="F22" s="62"/>
      <c r="G22" s="61"/>
    </row>
    <row r="23" spans="1:7" ht="30" customHeight="1" x14ac:dyDescent="0.25">
      <c r="A23" s="82">
        <v>1992</v>
      </c>
      <c r="B23" s="82">
        <v>1991</v>
      </c>
      <c r="C23" s="36"/>
      <c r="D23" s="36"/>
      <c r="E23" s="36"/>
      <c r="F23" s="36"/>
      <c r="G23" s="61"/>
    </row>
    <row r="24" spans="1:7" ht="30" customHeight="1" x14ac:dyDescent="0.25">
      <c r="A24" s="82">
        <v>1991</v>
      </c>
      <c r="B24" s="82">
        <v>1990</v>
      </c>
      <c r="C24" s="36"/>
      <c r="D24" s="36"/>
      <c r="E24" s="36"/>
      <c r="F24" s="36"/>
      <c r="G24" s="152"/>
    </row>
    <row r="25" spans="1:7" ht="30" customHeight="1" x14ac:dyDescent="0.25">
      <c r="A25" s="82">
        <v>1990</v>
      </c>
      <c r="B25" s="82">
        <v>1989</v>
      </c>
      <c r="C25" s="36"/>
      <c r="D25" s="36"/>
      <c r="E25" s="36"/>
      <c r="F25" s="36"/>
      <c r="G25" s="61"/>
    </row>
    <row r="26" spans="1:7" ht="30" customHeight="1" x14ac:dyDescent="0.25">
      <c r="A26" s="82">
        <v>1989</v>
      </c>
      <c r="B26" s="82">
        <v>1988</v>
      </c>
      <c r="C26" s="36"/>
      <c r="D26" s="36"/>
      <c r="E26" s="36"/>
      <c r="F26" s="36"/>
      <c r="G26" s="61"/>
    </row>
    <row r="27" spans="1:7" ht="30" customHeight="1" x14ac:dyDescent="0.25">
      <c r="A27" s="82">
        <v>1988</v>
      </c>
      <c r="B27" s="82">
        <v>1987</v>
      </c>
      <c r="C27" s="36"/>
      <c r="D27" s="36"/>
      <c r="E27" s="36"/>
      <c r="F27" s="36"/>
      <c r="G27" s="105"/>
    </row>
    <row r="28" spans="1:7" ht="30" customHeight="1" x14ac:dyDescent="0.25">
      <c r="A28" s="82">
        <v>1987</v>
      </c>
      <c r="B28" s="82">
        <v>1986</v>
      </c>
      <c r="C28" s="36"/>
      <c r="D28" s="36"/>
      <c r="E28" s="36"/>
      <c r="F28" s="36"/>
      <c r="G28" s="61"/>
    </row>
    <row r="29" spans="1:7" ht="30" customHeight="1" x14ac:dyDescent="0.25">
      <c r="A29" s="82">
        <v>1986</v>
      </c>
      <c r="B29" s="82">
        <v>1985</v>
      </c>
      <c r="C29" s="35"/>
      <c r="D29" s="35"/>
      <c r="E29" s="35"/>
      <c r="F29" s="35"/>
      <c r="G29" s="61"/>
    </row>
    <row r="30" spans="1:7" ht="30" customHeight="1" x14ac:dyDescent="0.25">
      <c r="A30" s="82">
        <v>1985</v>
      </c>
      <c r="B30" s="82">
        <v>1984</v>
      </c>
      <c r="C30" s="35"/>
      <c r="D30" s="35"/>
      <c r="E30" s="35"/>
      <c r="F30" s="35"/>
      <c r="G30" s="36"/>
    </row>
    <row r="31" spans="1:7" ht="30" customHeight="1" x14ac:dyDescent="0.25">
      <c r="A31" s="82">
        <v>1984</v>
      </c>
      <c r="B31" s="82">
        <v>1983</v>
      </c>
      <c r="C31" s="35"/>
      <c r="D31" s="35"/>
      <c r="E31" s="35"/>
      <c r="F31" s="35"/>
      <c r="G31" s="70"/>
    </row>
    <row r="32" spans="1:7" ht="30" customHeight="1" x14ac:dyDescent="0.25">
      <c r="A32" s="82">
        <v>1983</v>
      </c>
      <c r="B32" s="82">
        <v>1982</v>
      </c>
      <c r="C32" s="35"/>
      <c r="D32" s="35"/>
      <c r="E32" s="35"/>
      <c r="F32" s="35"/>
      <c r="G32" s="106"/>
    </row>
    <row r="33" spans="1:7" ht="30" customHeight="1" x14ac:dyDescent="0.25">
      <c r="A33" s="82">
        <v>1982</v>
      </c>
      <c r="B33" s="82">
        <v>1981</v>
      </c>
      <c r="C33" s="35"/>
      <c r="D33" s="35"/>
      <c r="E33" s="35"/>
      <c r="F33" s="35"/>
      <c r="G33" s="106"/>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1"/>
  <sheetViews>
    <sheetView workbookViewId="0">
      <pane xSplit="2" ySplit="2" topLeftCell="AB3" activePane="bottomRight" state="frozen"/>
      <selection pane="topRight" activeCell="C1" sqref="C1"/>
      <selection pane="bottomLeft" activeCell="A2" sqref="A2"/>
      <selection pane="bottomRight" activeCell="AB8" sqref="AB8"/>
    </sheetView>
  </sheetViews>
  <sheetFormatPr baseColWidth="10" defaultColWidth="20.7109375" defaultRowHeight="15" x14ac:dyDescent="0.25"/>
  <cols>
    <col min="1" max="2" width="20.7109375" style="72"/>
    <col min="3" max="32" width="20.7109375" style="35"/>
    <col min="33" max="33" width="152.85546875" style="35" customWidth="1"/>
    <col min="34" max="16384" width="20.7109375" style="35"/>
  </cols>
  <sheetData>
    <row r="1" spans="1:33" ht="30" customHeight="1" x14ac:dyDescent="0.25">
      <c r="A1" s="4" t="s">
        <v>221</v>
      </c>
      <c r="B1" s="4" t="s">
        <v>222</v>
      </c>
      <c r="C1" s="27" t="s">
        <v>258</v>
      </c>
      <c r="D1" s="27" t="s">
        <v>259</v>
      </c>
      <c r="E1" s="148" t="s">
        <v>269</v>
      </c>
      <c r="F1" s="148" t="s">
        <v>270</v>
      </c>
      <c r="G1" s="148" t="s">
        <v>271</v>
      </c>
      <c r="H1" s="148" t="s">
        <v>272</v>
      </c>
      <c r="I1" s="148" t="s">
        <v>273</v>
      </c>
      <c r="J1" s="148" t="s">
        <v>274</v>
      </c>
      <c r="K1" s="148" t="s">
        <v>275</v>
      </c>
      <c r="L1" s="148" t="s">
        <v>280</v>
      </c>
      <c r="M1" s="148" t="s">
        <v>281</v>
      </c>
      <c r="N1" s="148" t="s">
        <v>284</v>
      </c>
      <c r="O1" s="148" t="s">
        <v>285</v>
      </c>
      <c r="P1" s="148" t="s">
        <v>286</v>
      </c>
      <c r="Q1" s="148" t="s">
        <v>296</v>
      </c>
      <c r="R1" s="148" t="s">
        <v>297</v>
      </c>
      <c r="S1" s="148" t="s">
        <v>298</v>
      </c>
      <c r="T1" s="148" t="s">
        <v>300</v>
      </c>
      <c r="U1" s="148" t="s">
        <v>301</v>
      </c>
      <c r="V1" s="148" t="s">
        <v>304</v>
      </c>
      <c r="W1" s="148" t="s">
        <v>305</v>
      </c>
      <c r="X1" s="148" t="s">
        <v>306</v>
      </c>
      <c r="Y1" s="148" t="s">
        <v>307</v>
      </c>
      <c r="Z1" s="65" t="s">
        <v>309</v>
      </c>
      <c r="AA1" s="65" t="s">
        <v>310</v>
      </c>
      <c r="AB1" s="148" t="s">
        <v>308</v>
      </c>
      <c r="AC1" s="148" t="s">
        <v>316</v>
      </c>
      <c r="AD1" s="148" t="s">
        <v>317</v>
      </c>
      <c r="AE1" s="4" t="s">
        <v>179</v>
      </c>
      <c r="AF1" s="4" t="s">
        <v>4</v>
      </c>
      <c r="AG1" s="5" t="s">
        <v>5</v>
      </c>
    </row>
    <row r="2" spans="1:33" ht="55.5" customHeight="1" x14ac:dyDescent="0.25">
      <c r="A2" s="4" t="s">
        <v>221</v>
      </c>
      <c r="B2" s="4" t="s">
        <v>222</v>
      </c>
      <c r="C2" s="289" t="s">
        <v>598</v>
      </c>
      <c r="D2" s="289" t="s">
        <v>599</v>
      </c>
      <c r="E2" s="290" t="s">
        <v>600</v>
      </c>
      <c r="F2" s="290" t="s">
        <v>601</v>
      </c>
      <c r="G2" s="290" t="s">
        <v>602</v>
      </c>
      <c r="H2" s="290" t="s">
        <v>603</v>
      </c>
      <c r="I2" s="290" t="s">
        <v>604</v>
      </c>
      <c r="J2" s="290" t="s">
        <v>605</v>
      </c>
      <c r="K2" s="290" t="s">
        <v>606</v>
      </c>
      <c r="L2" s="290" t="s">
        <v>607</v>
      </c>
      <c r="M2" s="290" t="s">
        <v>608</v>
      </c>
      <c r="N2" s="290" t="s">
        <v>609</v>
      </c>
      <c r="O2" s="290" t="s">
        <v>610</v>
      </c>
      <c r="P2" s="290" t="s">
        <v>611</v>
      </c>
      <c r="Q2" s="290" t="s">
        <v>612</v>
      </c>
      <c r="R2" s="290" t="s">
        <v>613</v>
      </c>
      <c r="S2" s="290" t="s">
        <v>614</v>
      </c>
      <c r="T2" s="290" t="s">
        <v>616</v>
      </c>
      <c r="U2" s="290" t="s">
        <v>615</v>
      </c>
      <c r="V2" s="290" t="s">
        <v>617</v>
      </c>
      <c r="W2" s="290" t="s">
        <v>618</v>
      </c>
      <c r="X2" s="290" t="s">
        <v>619</v>
      </c>
      <c r="Y2" s="290" t="s">
        <v>620</v>
      </c>
      <c r="Z2" s="286" t="s">
        <v>621</v>
      </c>
      <c r="AA2" s="286" t="s">
        <v>622</v>
      </c>
      <c r="AB2" s="290" t="s">
        <v>623</v>
      </c>
      <c r="AC2" s="290" t="s">
        <v>624</v>
      </c>
      <c r="AD2" s="290" t="s">
        <v>625</v>
      </c>
      <c r="AE2" s="4" t="s">
        <v>179</v>
      </c>
      <c r="AF2" s="4" t="s">
        <v>4</v>
      </c>
      <c r="AG2" s="5" t="s">
        <v>5</v>
      </c>
    </row>
    <row r="3" spans="1:33" s="72" customFormat="1" ht="30" customHeight="1" x14ac:dyDescent="0.25">
      <c r="A3" s="82">
        <v>2011</v>
      </c>
      <c r="B3" s="82">
        <v>2010</v>
      </c>
      <c r="C3" s="149"/>
      <c r="D3" s="149"/>
      <c r="E3" s="149"/>
      <c r="F3" s="129"/>
      <c r="G3" s="129"/>
      <c r="H3" s="38">
        <v>915</v>
      </c>
      <c r="I3" s="42">
        <v>0.25</v>
      </c>
      <c r="J3" s="38">
        <v>1525</v>
      </c>
      <c r="K3" s="38">
        <v>300</v>
      </c>
      <c r="L3" s="149"/>
      <c r="M3" s="149"/>
      <c r="N3" s="149"/>
      <c r="O3" s="129"/>
      <c r="P3" s="149"/>
      <c r="Q3" s="129"/>
      <c r="R3" s="110">
        <v>0.25</v>
      </c>
      <c r="S3" s="87">
        <v>20000</v>
      </c>
      <c r="T3" s="110">
        <v>0.5</v>
      </c>
      <c r="U3" s="87">
        <v>5000</v>
      </c>
      <c r="V3" s="87">
        <v>1000</v>
      </c>
      <c r="W3" s="87">
        <v>400</v>
      </c>
      <c r="X3" s="110">
        <v>0.25</v>
      </c>
      <c r="Y3" s="87">
        <v>20000</v>
      </c>
      <c r="Z3" s="110">
        <v>0.3</v>
      </c>
      <c r="AA3" s="110">
        <v>0.4</v>
      </c>
      <c r="AB3" s="87">
        <v>100000</v>
      </c>
      <c r="AC3" s="98">
        <v>0.25</v>
      </c>
      <c r="AD3" s="108">
        <v>10000</v>
      </c>
      <c r="AE3" s="2"/>
      <c r="AF3" s="52"/>
      <c r="AG3" s="300" t="s">
        <v>627</v>
      </c>
    </row>
    <row r="4" spans="1:33" s="72" customFormat="1" ht="30" customHeight="1" x14ac:dyDescent="0.25">
      <c r="A4" s="82">
        <v>2010</v>
      </c>
      <c r="B4" s="82">
        <v>2009</v>
      </c>
      <c r="C4" s="149"/>
      <c r="D4" s="149"/>
      <c r="E4" s="149"/>
      <c r="F4" s="175"/>
      <c r="G4" s="175"/>
      <c r="H4" s="39">
        <v>915</v>
      </c>
      <c r="I4" s="40">
        <v>0.25</v>
      </c>
      <c r="J4" s="39">
        <v>1525</v>
      </c>
      <c r="K4" s="39">
        <v>300</v>
      </c>
      <c r="L4" s="174"/>
      <c r="M4" s="174"/>
      <c r="N4" s="174"/>
      <c r="O4" s="175"/>
      <c r="P4" s="174"/>
      <c r="Q4" s="175"/>
      <c r="R4" s="155">
        <v>0.25</v>
      </c>
      <c r="S4" s="86">
        <v>20000</v>
      </c>
      <c r="T4" s="155">
        <v>0.5</v>
      </c>
      <c r="U4" s="86">
        <v>5000</v>
      </c>
      <c r="V4" s="86">
        <v>1000</v>
      </c>
      <c r="W4" s="86">
        <v>400</v>
      </c>
      <c r="X4" s="155">
        <v>0.25</v>
      </c>
      <c r="Y4" s="86">
        <v>20000</v>
      </c>
      <c r="Z4" s="155">
        <v>0.3</v>
      </c>
      <c r="AA4" s="155">
        <v>0.4</v>
      </c>
      <c r="AB4" s="86">
        <v>100000</v>
      </c>
      <c r="AC4" s="173"/>
      <c r="AD4" s="173"/>
      <c r="AE4" s="2"/>
      <c r="AF4" s="52"/>
      <c r="AG4" s="300"/>
    </row>
    <row r="5" spans="1:33" s="72" customFormat="1" ht="30" customHeight="1" x14ac:dyDescent="0.25">
      <c r="A5" s="82">
        <v>2009</v>
      </c>
      <c r="B5" s="82">
        <v>2008</v>
      </c>
      <c r="C5" s="149"/>
      <c r="D5" s="149"/>
      <c r="E5" s="149"/>
      <c r="F5" s="129"/>
      <c r="G5" s="129"/>
      <c r="H5" s="38">
        <v>915</v>
      </c>
      <c r="I5" s="42">
        <v>0.25</v>
      </c>
      <c r="J5" s="38">
        <v>1525</v>
      </c>
      <c r="K5" s="38">
        <v>300</v>
      </c>
      <c r="L5" s="149"/>
      <c r="M5" s="149"/>
      <c r="N5" s="149"/>
      <c r="O5" s="129"/>
      <c r="P5" s="149"/>
      <c r="Q5" s="129"/>
      <c r="R5" s="110">
        <v>0.25</v>
      </c>
      <c r="S5" s="87">
        <v>20000</v>
      </c>
      <c r="T5" s="110">
        <v>0.5</v>
      </c>
      <c r="U5" s="87">
        <v>5000</v>
      </c>
      <c r="V5" s="87">
        <v>1000</v>
      </c>
      <c r="W5" s="87">
        <v>400</v>
      </c>
      <c r="X5" s="110">
        <v>0.25</v>
      </c>
      <c r="Y5" s="87">
        <v>20000</v>
      </c>
      <c r="Z5" s="129"/>
      <c r="AA5" s="129"/>
      <c r="AB5" s="129"/>
      <c r="AC5" s="133"/>
      <c r="AD5" s="133"/>
      <c r="AE5" s="2"/>
      <c r="AF5" s="52"/>
      <c r="AG5" s="300"/>
    </row>
    <row r="6" spans="1:33" s="72" customFormat="1" ht="30" customHeight="1" x14ac:dyDescent="0.25">
      <c r="A6" s="82">
        <v>2008</v>
      </c>
      <c r="B6" s="82">
        <v>2007</v>
      </c>
      <c r="C6" s="149"/>
      <c r="D6" s="149"/>
      <c r="E6" s="149"/>
      <c r="F6" s="129"/>
      <c r="G6" s="129"/>
      <c r="H6" s="38">
        <v>915</v>
      </c>
      <c r="I6" s="42">
        <v>0.25</v>
      </c>
      <c r="J6" s="38">
        <v>1525</v>
      </c>
      <c r="K6" s="38">
        <v>300</v>
      </c>
      <c r="L6" s="149"/>
      <c r="M6" s="149"/>
      <c r="N6" s="149"/>
      <c r="O6" s="129"/>
      <c r="P6" s="149"/>
      <c r="Q6" s="129"/>
      <c r="R6" s="110">
        <v>0.25</v>
      </c>
      <c r="S6" s="87">
        <v>10000</v>
      </c>
      <c r="T6" s="110">
        <v>0.5</v>
      </c>
      <c r="U6" s="87">
        <v>5000</v>
      </c>
      <c r="V6" s="87">
        <v>1000</v>
      </c>
      <c r="W6" s="87">
        <v>400</v>
      </c>
      <c r="X6" s="129"/>
      <c r="Y6" s="129"/>
      <c r="Z6" s="129"/>
      <c r="AA6" s="129"/>
      <c r="AB6" s="129"/>
      <c r="AC6" s="133"/>
      <c r="AD6" s="133"/>
      <c r="AE6" s="2"/>
      <c r="AF6" s="52"/>
      <c r="AG6" s="300"/>
    </row>
    <row r="7" spans="1:33" s="72" customFormat="1" ht="30" customHeight="1" x14ac:dyDescent="0.25">
      <c r="A7" s="82">
        <v>2007</v>
      </c>
      <c r="B7" s="82">
        <v>2006</v>
      </c>
      <c r="C7" s="149"/>
      <c r="D7" s="149"/>
      <c r="E7" s="149"/>
      <c r="F7" s="129"/>
      <c r="G7" s="129"/>
      <c r="H7" s="38">
        <v>915</v>
      </c>
      <c r="I7" s="42">
        <v>0.25</v>
      </c>
      <c r="J7" s="38">
        <v>1525</v>
      </c>
      <c r="K7" s="38">
        <v>300</v>
      </c>
      <c r="L7" s="149"/>
      <c r="M7" s="149"/>
      <c r="N7" s="149"/>
      <c r="O7" s="129"/>
      <c r="P7" s="149"/>
      <c r="Q7" s="129"/>
      <c r="R7" s="110">
        <v>0.25</v>
      </c>
      <c r="S7" s="87">
        <v>10000</v>
      </c>
      <c r="T7" s="110">
        <v>0.5</v>
      </c>
      <c r="U7" s="87">
        <v>5000</v>
      </c>
      <c r="V7" s="87">
        <v>1000</v>
      </c>
      <c r="W7" s="87">
        <v>400</v>
      </c>
      <c r="X7" s="129"/>
      <c r="Y7" s="129"/>
      <c r="Z7" s="129"/>
      <c r="AA7" s="129"/>
      <c r="AB7" s="129"/>
      <c r="AC7" s="133"/>
      <c r="AD7" s="133"/>
      <c r="AE7" s="94"/>
      <c r="AF7" s="52"/>
      <c r="AG7" s="300"/>
    </row>
    <row r="8" spans="1:33" s="72" customFormat="1" ht="30" customHeight="1" x14ac:dyDescent="0.25">
      <c r="A8" s="82">
        <v>2006</v>
      </c>
      <c r="B8" s="82">
        <v>2005</v>
      </c>
      <c r="C8" s="149"/>
      <c r="D8" s="149"/>
      <c r="E8" s="149"/>
      <c r="F8" s="129"/>
      <c r="G8" s="129"/>
      <c r="H8" s="38">
        <v>915</v>
      </c>
      <c r="I8" s="42">
        <v>0.25</v>
      </c>
      <c r="J8" s="38">
        <v>1525</v>
      </c>
      <c r="K8" s="38">
        <v>300</v>
      </c>
      <c r="L8" s="149"/>
      <c r="M8" s="149"/>
      <c r="N8" s="149"/>
      <c r="O8" s="129"/>
      <c r="P8" s="110">
        <v>0.25</v>
      </c>
      <c r="Q8" s="87">
        <v>600</v>
      </c>
      <c r="R8" s="110">
        <v>0.25</v>
      </c>
      <c r="S8" s="87">
        <v>10000</v>
      </c>
      <c r="T8" s="110">
        <v>0.5</v>
      </c>
      <c r="U8" s="87">
        <v>5000</v>
      </c>
      <c r="V8" s="129"/>
      <c r="W8" s="129"/>
      <c r="X8" s="129"/>
      <c r="Y8" s="129"/>
      <c r="Z8" s="129"/>
      <c r="AA8" s="129"/>
      <c r="AB8" s="129"/>
      <c r="AC8" s="133"/>
      <c r="AD8" s="133"/>
      <c r="AE8" s="83"/>
      <c r="AF8" s="52"/>
      <c r="AG8" s="300"/>
    </row>
    <row r="9" spans="1:33" s="72" customFormat="1" ht="30" customHeight="1" x14ac:dyDescent="0.25">
      <c r="A9" s="82">
        <v>2005</v>
      </c>
      <c r="B9" s="82">
        <v>2004</v>
      </c>
      <c r="C9" s="149"/>
      <c r="D9" s="149"/>
      <c r="E9" s="42">
        <v>0.25</v>
      </c>
      <c r="F9" s="38">
        <v>610</v>
      </c>
      <c r="G9" s="38">
        <v>150</v>
      </c>
      <c r="H9" s="38">
        <v>915</v>
      </c>
      <c r="I9" s="42">
        <v>0.25</v>
      </c>
      <c r="J9" s="38">
        <v>1525</v>
      </c>
      <c r="K9" s="38">
        <v>300</v>
      </c>
      <c r="L9" s="149"/>
      <c r="M9" s="149"/>
      <c r="N9" s="149"/>
      <c r="O9" s="129"/>
      <c r="P9" s="110">
        <v>0.25</v>
      </c>
      <c r="Q9" s="87">
        <v>600</v>
      </c>
      <c r="R9" s="110">
        <v>0.25</v>
      </c>
      <c r="S9" s="87">
        <v>10000</v>
      </c>
      <c r="T9" s="129"/>
      <c r="U9" s="129"/>
      <c r="V9" s="129"/>
      <c r="W9" s="129"/>
      <c r="X9" s="129"/>
      <c r="Y9" s="129"/>
      <c r="Z9" s="129"/>
      <c r="AA9" s="129"/>
      <c r="AB9" s="129"/>
      <c r="AC9" s="133"/>
      <c r="AD9" s="133"/>
      <c r="AE9" s="88"/>
      <c r="AF9" s="52"/>
      <c r="AG9" s="300"/>
    </row>
    <row r="10" spans="1:33" s="72" customFormat="1" ht="30" customHeight="1" x14ac:dyDescent="0.25">
      <c r="A10" s="82">
        <v>2004</v>
      </c>
      <c r="B10" s="82">
        <v>2003</v>
      </c>
      <c r="C10" s="149"/>
      <c r="D10" s="149"/>
      <c r="E10" s="42">
        <v>0.25</v>
      </c>
      <c r="F10" s="38">
        <v>610</v>
      </c>
      <c r="G10" s="38">
        <v>150</v>
      </c>
      <c r="H10" s="38">
        <v>915</v>
      </c>
      <c r="I10" s="42">
        <v>0.25</v>
      </c>
      <c r="J10" s="38">
        <v>1070</v>
      </c>
      <c r="K10" s="38">
        <v>230</v>
      </c>
      <c r="L10" s="149"/>
      <c r="M10" s="149"/>
      <c r="N10" s="149"/>
      <c r="O10" s="129"/>
      <c r="P10" s="149"/>
      <c r="Q10" s="149"/>
      <c r="R10" s="149"/>
      <c r="S10" s="149"/>
      <c r="T10" s="149"/>
      <c r="U10" s="149"/>
      <c r="V10" s="149"/>
      <c r="W10" s="149"/>
      <c r="X10" s="149"/>
      <c r="Y10" s="149"/>
      <c r="Z10" s="149"/>
      <c r="AA10" s="149"/>
      <c r="AB10" s="149"/>
      <c r="AC10" s="132"/>
      <c r="AD10" s="132"/>
      <c r="AE10" s="102"/>
      <c r="AF10" s="52"/>
      <c r="AG10" s="95"/>
    </row>
    <row r="11" spans="1:33" s="72" customFormat="1" ht="30" customHeight="1" x14ac:dyDescent="0.25">
      <c r="A11" s="82">
        <v>2003</v>
      </c>
      <c r="B11" s="82">
        <v>2002</v>
      </c>
      <c r="C11" s="149"/>
      <c r="D11" s="149"/>
      <c r="E11" s="42">
        <v>0.25</v>
      </c>
      <c r="F11" s="38">
        <v>610</v>
      </c>
      <c r="G11" s="38">
        <v>150</v>
      </c>
      <c r="H11" s="38">
        <v>915</v>
      </c>
      <c r="I11" s="42">
        <v>0.25</v>
      </c>
      <c r="J11" s="38">
        <v>1070</v>
      </c>
      <c r="K11" s="38">
        <v>230</v>
      </c>
      <c r="L11" s="149"/>
      <c r="M11" s="149"/>
      <c r="N11" s="149"/>
      <c r="O11" s="129"/>
      <c r="P11" s="149"/>
      <c r="Q11" s="149"/>
      <c r="R11" s="149"/>
      <c r="S11" s="149"/>
      <c r="T11" s="149"/>
      <c r="U11" s="149"/>
      <c r="V11" s="149"/>
      <c r="W11" s="149"/>
      <c r="X11" s="149"/>
      <c r="Y11" s="149"/>
      <c r="Z11" s="149"/>
      <c r="AA11" s="149"/>
      <c r="AB11" s="149"/>
      <c r="AC11" s="132"/>
      <c r="AD11" s="132"/>
      <c r="AE11" s="2"/>
      <c r="AF11" s="52"/>
      <c r="AG11" s="61"/>
    </row>
    <row r="12" spans="1:33" s="72" customFormat="1" ht="30" customHeight="1" x14ac:dyDescent="0.25">
      <c r="A12" s="82">
        <v>2002</v>
      </c>
      <c r="B12" s="82">
        <v>2001</v>
      </c>
      <c r="C12" s="149"/>
      <c r="D12" s="149"/>
      <c r="E12" s="42">
        <v>0.25</v>
      </c>
      <c r="F12" s="38">
        <v>610</v>
      </c>
      <c r="G12" s="38">
        <v>150</v>
      </c>
      <c r="H12" s="38">
        <v>915</v>
      </c>
      <c r="I12" s="42">
        <v>0.25</v>
      </c>
      <c r="J12" s="38">
        <v>1070</v>
      </c>
      <c r="K12" s="38">
        <v>230</v>
      </c>
      <c r="L12" s="149"/>
      <c r="M12" s="149"/>
      <c r="N12" s="149"/>
      <c r="O12" s="129"/>
      <c r="P12" s="149"/>
      <c r="Q12" s="149"/>
      <c r="R12" s="149"/>
      <c r="S12" s="149"/>
      <c r="T12" s="149"/>
      <c r="U12" s="149"/>
      <c r="V12" s="149"/>
      <c r="W12" s="149"/>
      <c r="X12" s="149"/>
      <c r="Y12" s="149"/>
      <c r="Z12" s="149"/>
      <c r="AA12" s="149"/>
      <c r="AB12" s="149"/>
      <c r="AC12" s="132"/>
      <c r="AD12" s="132"/>
      <c r="AE12" s="88"/>
      <c r="AF12" s="52"/>
      <c r="AG12" s="61"/>
    </row>
    <row r="13" spans="1:33" s="73" customFormat="1" ht="30" customHeight="1" x14ac:dyDescent="0.25">
      <c r="A13" s="82">
        <v>2001</v>
      </c>
      <c r="B13" s="82">
        <v>2000</v>
      </c>
      <c r="C13" s="149"/>
      <c r="D13" s="130"/>
      <c r="E13" s="42">
        <v>0.25</v>
      </c>
      <c r="F13" s="43">
        <v>4000</v>
      </c>
      <c r="G13" s="43">
        <v>1000</v>
      </c>
      <c r="H13" s="43">
        <v>6000</v>
      </c>
      <c r="I13" s="42">
        <v>0.25</v>
      </c>
      <c r="J13" s="43">
        <v>7000</v>
      </c>
      <c r="K13" s="43">
        <v>1500</v>
      </c>
      <c r="L13" s="149"/>
      <c r="M13" s="130"/>
      <c r="N13" s="149"/>
      <c r="O13" s="130"/>
      <c r="P13" s="149"/>
      <c r="Q13" s="149"/>
      <c r="R13" s="149"/>
      <c r="S13" s="149"/>
      <c r="T13" s="149"/>
      <c r="U13" s="149"/>
      <c r="V13" s="149"/>
      <c r="W13" s="149"/>
      <c r="X13" s="149"/>
      <c r="Y13" s="149"/>
      <c r="Z13" s="149"/>
      <c r="AA13" s="149"/>
      <c r="AB13" s="149"/>
      <c r="AC13" s="132"/>
      <c r="AD13" s="132"/>
      <c r="AE13" s="83"/>
      <c r="AF13" s="52"/>
      <c r="AG13" s="36"/>
    </row>
    <row r="14" spans="1:33" s="73" customFormat="1" ht="30" customHeight="1" x14ac:dyDescent="0.25">
      <c r="A14" s="82">
        <v>2000</v>
      </c>
      <c r="B14" s="82">
        <v>1999</v>
      </c>
      <c r="C14" s="149"/>
      <c r="D14" s="130"/>
      <c r="E14" s="42">
        <v>0.25</v>
      </c>
      <c r="F14" s="43">
        <v>4000</v>
      </c>
      <c r="G14" s="43">
        <v>1000</v>
      </c>
      <c r="H14" s="43">
        <v>6000</v>
      </c>
      <c r="I14" s="42">
        <v>0.25</v>
      </c>
      <c r="J14" s="43">
        <v>7000</v>
      </c>
      <c r="K14" s="43">
        <v>1500</v>
      </c>
      <c r="L14" s="42">
        <v>0.25</v>
      </c>
      <c r="M14" s="43">
        <v>40000</v>
      </c>
      <c r="N14" s="149"/>
      <c r="O14" s="130"/>
      <c r="P14" s="149"/>
      <c r="Q14" s="149"/>
      <c r="R14" s="149"/>
      <c r="S14" s="149"/>
      <c r="T14" s="149"/>
      <c r="U14" s="149"/>
      <c r="V14" s="149"/>
      <c r="W14" s="149"/>
      <c r="X14" s="149"/>
      <c r="Y14" s="149"/>
      <c r="Z14" s="149"/>
      <c r="AA14" s="149"/>
      <c r="AB14" s="149"/>
      <c r="AC14" s="132"/>
      <c r="AD14" s="132"/>
      <c r="AE14" s="63"/>
      <c r="AF14" s="52"/>
      <c r="AG14" s="70"/>
    </row>
    <row r="15" spans="1:33" s="73" customFormat="1" ht="30" customHeight="1" x14ac:dyDescent="0.25">
      <c r="A15" s="82">
        <v>1999</v>
      </c>
      <c r="B15" s="82">
        <v>1998</v>
      </c>
      <c r="C15" s="149"/>
      <c r="D15" s="130"/>
      <c r="E15" s="42">
        <v>0.25</v>
      </c>
      <c r="F15" s="43">
        <v>4000</v>
      </c>
      <c r="G15" s="43">
        <v>1000</v>
      </c>
      <c r="H15" s="43">
        <v>6000</v>
      </c>
      <c r="I15" s="42">
        <v>0.25</v>
      </c>
      <c r="J15" s="43">
        <v>7000</v>
      </c>
      <c r="K15" s="43">
        <v>1500</v>
      </c>
      <c r="L15" s="42">
        <v>0.25</v>
      </c>
      <c r="M15" s="43">
        <v>40000</v>
      </c>
      <c r="N15" s="149"/>
      <c r="O15" s="130"/>
      <c r="P15" s="149"/>
      <c r="Q15" s="149"/>
      <c r="R15" s="149"/>
      <c r="S15" s="149"/>
      <c r="T15" s="149"/>
      <c r="U15" s="149"/>
      <c r="V15" s="149"/>
      <c r="W15" s="149"/>
      <c r="X15" s="149"/>
      <c r="Y15" s="149"/>
      <c r="Z15" s="149"/>
      <c r="AA15" s="149"/>
      <c r="AB15" s="149"/>
      <c r="AC15" s="132"/>
      <c r="AD15" s="132"/>
      <c r="AE15" s="63"/>
      <c r="AF15" s="52"/>
      <c r="AG15" s="80"/>
    </row>
    <row r="16" spans="1:33" s="73" customFormat="1" ht="30" customHeight="1" x14ac:dyDescent="0.25">
      <c r="A16" s="82">
        <v>1998</v>
      </c>
      <c r="B16" s="82">
        <v>1997</v>
      </c>
      <c r="C16" s="149"/>
      <c r="D16" s="130"/>
      <c r="E16" s="42">
        <v>0.25</v>
      </c>
      <c r="F16" s="43">
        <v>4000</v>
      </c>
      <c r="G16" s="43">
        <v>1000</v>
      </c>
      <c r="H16" s="43">
        <v>6000</v>
      </c>
      <c r="I16" s="42">
        <v>0.25</v>
      </c>
      <c r="J16" s="43">
        <v>7000</v>
      </c>
      <c r="K16" s="43">
        <v>1500</v>
      </c>
      <c r="L16" s="42">
        <v>0.25</v>
      </c>
      <c r="M16" s="43">
        <v>40000</v>
      </c>
      <c r="N16" s="149"/>
      <c r="O16" s="43">
        <v>5000</v>
      </c>
      <c r="P16" s="42">
        <v>0.25</v>
      </c>
      <c r="Q16" s="149"/>
      <c r="R16" s="149"/>
      <c r="S16" s="149"/>
      <c r="T16" s="149"/>
      <c r="U16" s="149"/>
      <c r="V16" s="149"/>
      <c r="W16" s="149"/>
      <c r="X16" s="149"/>
      <c r="Y16" s="149"/>
      <c r="Z16" s="149"/>
      <c r="AA16" s="149"/>
      <c r="AB16" s="149"/>
      <c r="AC16" s="132"/>
      <c r="AD16" s="132"/>
      <c r="AE16" s="63"/>
      <c r="AF16" s="52"/>
      <c r="AG16" s="80"/>
    </row>
    <row r="17" spans="1:33" s="73" customFormat="1" ht="30" customHeight="1" x14ac:dyDescent="0.25">
      <c r="A17" s="82">
        <v>1997</v>
      </c>
      <c r="B17" s="82">
        <v>1996</v>
      </c>
      <c r="C17" s="42">
        <v>0.35</v>
      </c>
      <c r="D17" s="43">
        <v>10000</v>
      </c>
      <c r="E17" s="42">
        <v>0.25</v>
      </c>
      <c r="F17" s="43">
        <v>4000</v>
      </c>
      <c r="G17" s="43">
        <v>1000</v>
      </c>
      <c r="H17" s="43">
        <v>6000</v>
      </c>
      <c r="I17" s="42">
        <v>0.25</v>
      </c>
      <c r="J17" s="43">
        <v>7000</v>
      </c>
      <c r="K17" s="43">
        <v>1500</v>
      </c>
      <c r="L17" s="42">
        <v>0.25</v>
      </c>
      <c r="M17" s="43">
        <v>40000</v>
      </c>
      <c r="N17" s="42">
        <v>0.25</v>
      </c>
      <c r="O17" s="43">
        <v>5000</v>
      </c>
      <c r="P17" s="42">
        <v>0.25</v>
      </c>
      <c r="Q17" s="149"/>
      <c r="R17" s="149"/>
      <c r="S17" s="149"/>
      <c r="T17" s="149"/>
      <c r="U17" s="149"/>
      <c r="V17" s="149"/>
      <c r="W17" s="149"/>
      <c r="X17" s="149"/>
      <c r="Y17" s="149"/>
      <c r="Z17" s="149"/>
      <c r="AA17" s="149"/>
      <c r="AB17" s="149"/>
      <c r="AC17" s="132"/>
      <c r="AD17" s="132"/>
      <c r="AE17" s="68"/>
      <c r="AF17" s="52"/>
      <c r="AG17" s="107"/>
    </row>
    <row r="18" spans="1:33" s="73" customFormat="1" ht="30" customHeight="1" x14ac:dyDescent="0.25">
      <c r="A18" s="82">
        <v>1996</v>
      </c>
      <c r="B18" s="82">
        <v>1995</v>
      </c>
      <c r="C18" s="42">
        <v>0.35</v>
      </c>
      <c r="D18" s="43">
        <v>10000</v>
      </c>
      <c r="E18" s="42">
        <v>0.25</v>
      </c>
      <c r="F18" s="43">
        <v>4000</v>
      </c>
      <c r="G18" s="43">
        <v>1000</v>
      </c>
      <c r="H18" s="43">
        <v>6000</v>
      </c>
      <c r="I18" s="42">
        <v>0.25</v>
      </c>
      <c r="J18" s="43">
        <v>7000</v>
      </c>
      <c r="K18" s="43">
        <v>1500</v>
      </c>
      <c r="L18" s="42">
        <v>0.25</v>
      </c>
      <c r="M18" s="43">
        <v>40000</v>
      </c>
      <c r="N18" s="149"/>
      <c r="O18" s="130"/>
      <c r="P18" s="149"/>
      <c r="Q18" s="149"/>
      <c r="R18" s="149"/>
      <c r="S18" s="149"/>
      <c r="T18" s="149"/>
      <c r="U18" s="149"/>
      <c r="V18" s="149"/>
      <c r="W18" s="149"/>
      <c r="X18" s="149"/>
      <c r="Y18" s="149"/>
      <c r="Z18" s="149"/>
      <c r="AA18" s="149"/>
      <c r="AB18" s="149"/>
      <c r="AC18" s="132"/>
      <c r="AD18" s="132"/>
      <c r="AE18" s="68"/>
      <c r="AF18" s="81"/>
      <c r="AG18" s="57" t="s">
        <v>626</v>
      </c>
    </row>
    <row r="19" spans="1:33" s="73" customFormat="1" ht="30" customHeight="1" x14ac:dyDescent="0.25">
      <c r="A19" s="82">
        <v>1995</v>
      </c>
      <c r="B19" s="82">
        <v>1994</v>
      </c>
      <c r="C19" s="42"/>
      <c r="D19" s="42"/>
      <c r="E19" s="42"/>
      <c r="F19" s="43"/>
      <c r="G19" s="43"/>
      <c r="H19" s="43"/>
      <c r="I19" s="43"/>
      <c r="J19" s="43"/>
      <c r="K19" s="43"/>
      <c r="L19" s="43"/>
      <c r="M19" s="43"/>
      <c r="N19" s="43"/>
      <c r="O19" s="43"/>
      <c r="P19" s="112"/>
      <c r="Q19" s="112"/>
      <c r="R19" s="112"/>
      <c r="S19" s="112"/>
      <c r="T19" s="112"/>
      <c r="U19" s="112"/>
      <c r="V19" s="112"/>
      <c r="W19" s="112"/>
      <c r="X19" s="112"/>
      <c r="Y19" s="112"/>
      <c r="Z19" s="112"/>
      <c r="AA19" s="112"/>
      <c r="AB19" s="112"/>
      <c r="AC19" s="115"/>
      <c r="AD19" s="115"/>
      <c r="AE19" s="68"/>
      <c r="AF19" s="81"/>
      <c r="AG19" s="57"/>
    </row>
    <row r="20" spans="1:33" ht="30" customHeight="1" x14ac:dyDescent="0.25">
      <c r="A20" s="82">
        <v>1994</v>
      </c>
      <c r="B20" s="82">
        <v>1993</v>
      </c>
      <c r="C20" s="36"/>
      <c r="D20" s="36"/>
      <c r="E20" s="36"/>
      <c r="F20" s="36"/>
      <c r="G20" s="36"/>
      <c r="H20" s="36"/>
      <c r="I20" s="36"/>
      <c r="J20" s="36"/>
      <c r="K20" s="36"/>
      <c r="L20" s="36"/>
      <c r="M20" s="36"/>
      <c r="N20" s="36"/>
      <c r="O20" s="36"/>
      <c r="P20" s="111"/>
      <c r="Q20" s="111"/>
      <c r="R20" s="111"/>
      <c r="S20" s="111"/>
      <c r="T20" s="111"/>
      <c r="U20" s="111"/>
      <c r="V20" s="111"/>
      <c r="W20" s="111"/>
      <c r="X20" s="111"/>
      <c r="Y20" s="111"/>
      <c r="Z20" s="111"/>
      <c r="AA20" s="111"/>
      <c r="AB20" s="111"/>
      <c r="AC20" s="111"/>
      <c r="AD20" s="111"/>
      <c r="AE20" s="71"/>
      <c r="AF20" s="62"/>
      <c r="AG20" s="57"/>
    </row>
    <row r="21" spans="1:33" ht="30" customHeight="1" x14ac:dyDescent="0.25">
      <c r="A21" s="82">
        <v>1993</v>
      </c>
      <c r="B21" s="82">
        <v>1992</v>
      </c>
      <c r="C21" s="36"/>
      <c r="D21" s="36"/>
      <c r="E21" s="36"/>
      <c r="F21" s="36"/>
      <c r="G21" s="36"/>
      <c r="H21" s="36"/>
      <c r="I21" s="36"/>
      <c r="J21" s="36"/>
      <c r="K21" s="36"/>
      <c r="L21" s="36"/>
      <c r="M21" s="36"/>
      <c r="N21" s="36"/>
      <c r="O21" s="36"/>
      <c r="P21" s="111"/>
      <c r="Q21" s="111"/>
      <c r="R21" s="111"/>
      <c r="S21" s="111"/>
      <c r="T21" s="111"/>
      <c r="U21" s="111"/>
      <c r="V21" s="111"/>
      <c r="W21" s="111"/>
      <c r="X21" s="111"/>
      <c r="Y21" s="111"/>
      <c r="Z21" s="111"/>
      <c r="AA21" s="111"/>
      <c r="AB21" s="111"/>
      <c r="AC21" s="111"/>
      <c r="AD21" s="111"/>
      <c r="AE21" s="71"/>
      <c r="AF21" s="62"/>
      <c r="AG21" s="57"/>
    </row>
    <row r="22" spans="1:33" ht="30" customHeight="1" x14ac:dyDescent="0.25">
      <c r="A22" s="82">
        <v>1992</v>
      </c>
      <c r="B22" s="82">
        <v>1991</v>
      </c>
      <c r="C22" s="36"/>
      <c r="D22" s="36"/>
      <c r="E22" s="36"/>
      <c r="F22" s="36"/>
      <c r="G22" s="36"/>
      <c r="H22" s="36"/>
      <c r="I22" s="36"/>
      <c r="J22" s="36"/>
      <c r="K22" s="36"/>
      <c r="L22" s="36"/>
      <c r="M22" s="36"/>
      <c r="N22" s="36"/>
      <c r="O22" s="36"/>
      <c r="P22" s="111"/>
      <c r="Q22" s="111"/>
      <c r="R22" s="111"/>
      <c r="S22" s="111"/>
      <c r="T22" s="111"/>
      <c r="U22" s="111"/>
      <c r="V22" s="111"/>
      <c r="W22" s="111"/>
      <c r="X22" s="111"/>
      <c r="Y22" s="111"/>
      <c r="Z22" s="111"/>
      <c r="AA22" s="111"/>
      <c r="AB22" s="111"/>
      <c r="AC22" s="111"/>
      <c r="AD22" s="111"/>
      <c r="AE22" s="36"/>
      <c r="AF22" s="36"/>
      <c r="AG22" s="57"/>
    </row>
    <row r="23" spans="1:33" ht="30" customHeight="1" x14ac:dyDescent="0.25">
      <c r="A23" s="82">
        <v>1991</v>
      </c>
      <c r="B23" s="82">
        <v>1990</v>
      </c>
      <c r="C23" s="36"/>
      <c r="D23" s="36"/>
      <c r="E23" s="36"/>
      <c r="F23" s="36"/>
      <c r="G23" s="36"/>
      <c r="H23" s="36"/>
      <c r="I23" s="36"/>
      <c r="J23" s="36"/>
      <c r="K23" s="36"/>
      <c r="L23" s="36"/>
      <c r="M23" s="36"/>
      <c r="N23" s="36"/>
      <c r="O23" s="36"/>
      <c r="P23" s="111"/>
      <c r="Q23" s="111"/>
      <c r="R23" s="111"/>
      <c r="S23" s="111"/>
      <c r="T23" s="111"/>
      <c r="U23" s="111"/>
      <c r="V23" s="111"/>
      <c r="W23" s="111"/>
      <c r="X23" s="111"/>
      <c r="Y23" s="111"/>
      <c r="Z23" s="111"/>
      <c r="AA23" s="111"/>
      <c r="AB23" s="111"/>
      <c r="AC23" s="111"/>
      <c r="AD23" s="111"/>
      <c r="AE23" s="36"/>
      <c r="AF23" s="36"/>
      <c r="AG23" s="57"/>
    </row>
    <row r="24" spans="1:33" ht="30" customHeight="1" x14ac:dyDescent="0.25">
      <c r="A24" s="82">
        <v>1990</v>
      </c>
      <c r="B24" s="82">
        <v>1989</v>
      </c>
      <c r="C24" s="36"/>
      <c r="D24" s="36"/>
      <c r="E24" s="36"/>
      <c r="F24" s="36"/>
      <c r="G24" s="36"/>
      <c r="H24" s="36"/>
      <c r="I24" s="36"/>
      <c r="J24" s="36"/>
      <c r="K24" s="36"/>
      <c r="L24" s="36"/>
      <c r="M24" s="36"/>
      <c r="N24" s="36"/>
      <c r="O24" s="36"/>
      <c r="P24" s="111"/>
      <c r="Q24" s="111"/>
      <c r="R24" s="111"/>
      <c r="S24" s="111"/>
      <c r="T24" s="111"/>
      <c r="U24" s="111"/>
      <c r="V24" s="111"/>
      <c r="W24" s="111"/>
      <c r="X24" s="111"/>
      <c r="Y24" s="111"/>
      <c r="Z24" s="111"/>
      <c r="AA24" s="111"/>
      <c r="AB24" s="111"/>
      <c r="AC24" s="111"/>
      <c r="AD24" s="111"/>
      <c r="AE24" s="36"/>
      <c r="AF24" s="36"/>
      <c r="AG24" s="57"/>
    </row>
    <row r="25" spans="1:33" ht="30" customHeight="1" x14ac:dyDescent="0.25">
      <c r="A25" s="82">
        <v>1989</v>
      </c>
      <c r="B25" s="82">
        <v>1988</v>
      </c>
      <c r="C25" s="36"/>
      <c r="D25" s="36"/>
      <c r="E25" s="36"/>
      <c r="F25" s="36"/>
      <c r="G25" s="36"/>
      <c r="H25" s="36"/>
      <c r="I25" s="36"/>
      <c r="J25" s="36"/>
      <c r="K25" s="36"/>
      <c r="L25" s="36"/>
      <c r="M25" s="36"/>
      <c r="N25" s="36"/>
      <c r="O25" s="36"/>
      <c r="P25" s="111"/>
      <c r="Q25" s="111"/>
      <c r="R25" s="111"/>
      <c r="S25" s="111"/>
      <c r="T25" s="111"/>
      <c r="U25" s="111"/>
      <c r="V25" s="111"/>
      <c r="W25" s="111"/>
      <c r="X25" s="111"/>
      <c r="Y25" s="111"/>
      <c r="Z25" s="111"/>
      <c r="AA25" s="111"/>
      <c r="AB25" s="111"/>
      <c r="AC25" s="111"/>
      <c r="AD25" s="111"/>
      <c r="AE25" s="36"/>
      <c r="AF25" s="36"/>
      <c r="AG25" s="57"/>
    </row>
    <row r="26" spans="1:33" ht="30" customHeight="1" x14ac:dyDescent="0.25">
      <c r="A26" s="82">
        <v>1988</v>
      </c>
      <c r="B26" s="82">
        <v>1987</v>
      </c>
      <c r="C26" s="36"/>
      <c r="D26" s="36"/>
      <c r="E26" s="36"/>
      <c r="F26" s="36"/>
      <c r="G26" s="36"/>
      <c r="H26" s="36"/>
      <c r="I26" s="36"/>
      <c r="J26" s="36"/>
      <c r="K26" s="36"/>
      <c r="L26" s="36"/>
      <c r="M26" s="36"/>
      <c r="N26" s="36"/>
      <c r="O26" s="36"/>
      <c r="P26" s="111"/>
      <c r="Q26" s="111"/>
      <c r="R26" s="111"/>
      <c r="S26" s="111"/>
      <c r="T26" s="111"/>
      <c r="U26" s="111"/>
      <c r="V26" s="111"/>
      <c r="W26" s="111"/>
      <c r="X26" s="111"/>
      <c r="Y26" s="111"/>
      <c r="Z26" s="111"/>
      <c r="AA26" s="111"/>
      <c r="AB26" s="111"/>
      <c r="AC26" s="111"/>
      <c r="AD26" s="111"/>
      <c r="AE26" s="36"/>
      <c r="AF26" s="36"/>
      <c r="AG26" s="57"/>
    </row>
    <row r="27" spans="1:33" ht="30" customHeight="1" x14ac:dyDescent="0.25">
      <c r="A27" s="82">
        <v>1987</v>
      </c>
      <c r="B27" s="82">
        <v>1986</v>
      </c>
      <c r="C27" s="36"/>
      <c r="D27" s="36"/>
      <c r="E27" s="36"/>
      <c r="F27" s="36"/>
      <c r="G27" s="36"/>
      <c r="H27" s="36"/>
      <c r="I27" s="36"/>
      <c r="J27" s="36"/>
      <c r="K27" s="36"/>
      <c r="L27" s="36"/>
      <c r="M27" s="36"/>
      <c r="N27" s="36"/>
      <c r="O27" s="36"/>
      <c r="P27" s="111"/>
      <c r="Q27" s="111"/>
      <c r="R27" s="111"/>
      <c r="S27" s="111"/>
      <c r="T27" s="111"/>
      <c r="U27" s="111"/>
      <c r="V27" s="111"/>
      <c r="W27" s="111"/>
      <c r="X27" s="111"/>
      <c r="Y27" s="111"/>
      <c r="Z27" s="111"/>
      <c r="AA27" s="111"/>
      <c r="AB27" s="111"/>
      <c r="AC27" s="111"/>
      <c r="AD27" s="111"/>
      <c r="AE27" s="36"/>
      <c r="AF27" s="36"/>
      <c r="AG27" s="57"/>
    </row>
    <row r="28" spans="1:33" ht="30" customHeight="1" x14ac:dyDescent="0.25">
      <c r="A28" s="82">
        <v>1986</v>
      </c>
      <c r="B28" s="82">
        <v>1985</v>
      </c>
      <c r="P28" s="169"/>
      <c r="Q28" s="169"/>
      <c r="R28" s="169"/>
      <c r="S28" s="169"/>
      <c r="T28" s="169"/>
      <c r="U28" s="169"/>
      <c r="V28" s="169"/>
      <c r="W28" s="169"/>
      <c r="X28" s="169"/>
      <c r="Y28" s="169"/>
      <c r="Z28" s="169"/>
      <c r="AA28" s="169"/>
      <c r="AB28" s="169"/>
      <c r="AC28" s="169"/>
      <c r="AD28" s="169"/>
      <c r="AG28" s="57"/>
    </row>
    <row r="29" spans="1:33" ht="30" customHeight="1" x14ac:dyDescent="0.25">
      <c r="A29" s="82">
        <v>1985</v>
      </c>
      <c r="B29" s="82">
        <v>1984</v>
      </c>
      <c r="P29" s="169"/>
      <c r="Q29" s="169"/>
      <c r="R29" s="169"/>
      <c r="S29" s="169"/>
      <c r="T29" s="169"/>
      <c r="U29" s="169"/>
      <c r="V29" s="169"/>
      <c r="W29" s="169"/>
      <c r="X29" s="169"/>
      <c r="Y29" s="169"/>
      <c r="Z29" s="169"/>
      <c r="AA29" s="169"/>
      <c r="AB29" s="169"/>
      <c r="AC29" s="169"/>
      <c r="AD29" s="169"/>
      <c r="AG29" s="57"/>
    </row>
    <row r="30" spans="1:33" ht="30" customHeight="1" x14ac:dyDescent="0.25">
      <c r="A30" s="82">
        <v>1984</v>
      </c>
      <c r="B30" s="82">
        <v>1983</v>
      </c>
      <c r="AG30" s="57"/>
    </row>
    <row r="31" spans="1:33" ht="30" customHeight="1" x14ac:dyDescent="0.25">
      <c r="A31" s="82">
        <v>1983</v>
      </c>
      <c r="B31" s="82">
        <v>1982</v>
      </c>
    </row>
    <row r="32" spans="1:33" ht="30" customHeight="1" x14ac:dyDescent="0.25">
      <c r="A32" s="82">
        <v>1982</v>
      </c>
      <c r="B32" s="82">
        <v>1981</v>
      </c>
    </row>
    <row r="87" spans="1:2" x14ac:dyDescent="0.25">
      <c r="A87" s="147"/>
      <c r="B87" s="147"/>
    </row>
    <row r="88" spans="1:2" x14ac:dyDescent="0.25">
      <c r="A88" s="147"/>
      <c r="B88" s="147"/>
    </row>
    <row r="89" spans="1:2" x14ac:dyDescent="0.25">
      <c r="A89" s="147"/>
      <c r="B89" s="147"/>
    </row>
    <row r="90" spans="1:2" x14ac:dyDescent="0.25">
      <c r="A90" s="147"/>
      <c r="B90" s="147"/>
    </row>
    <row r="91" spans="1:2" x14ac:dyDescent="0.25">
      <c r="A91" s="147"/>
      <c r="B91" s="147"/>
    </row>
  </sheetData>
  <mergeCells count="1">
    <mergeCell ref="AG3:AG9"/>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workbookViewId="0">
      <pane xSplit="2" ySplit="2" topLeftCell="C3" activePane="bottomRight" state="frozen"/>
      <selection pane="topRight" activeCell="B1" sqref="B1"/>
      <selection pane="bottomLeft" activeCell="A2" sqref="A2"/>
      <selection pane="bottomRight" activeCell="H4" sqref="H4"/>
    </sheetView>
  </sheetViews>
  <sheetFormatPr baseColWidth="10" defaultColWidth="9.140625" defaultRowHeight="30" customHeight="1" x14ac:dyDescent="0.25"/>
  <cols>
    <col min="1" max="2" width="15.7109375" style="72" customWidth="1"/>
    <col min="3" max="3" width="19" customWidth="1"/>
    <col min="4" max="5" width="20.42578125" customWidth="1"/>
    <col min="6" max="6" width="26.5703125" style="35" customWidth="1"/>
    <col min="7" max="7" width="18" style="35" customWidth="1"/>
    <col min="8" max="8" width="99.42578125" style="78" customWidth="1"/>
  </cols>
  <sheetData>
    <row r="1" spans="1:8" ht="30" customHeight="1" x14ac:dyDescent="0.25">
      <c r="A1" s="4" t="s">
        <v>221</v>
      </c>
      <c r="B1" s="4" t="s">
        <v>222</v>
      </c>
      <c r="C1" s="65" t="s">
        <v>80</v>
      </c>
      <c r="D1" s="65" t="s">
        <v>81</v>
      </c>
      <c r="E1" s="4" t="s">
        <v>3</v>
      </c>
      <c r="F1" s="4" t="s">
        <v>18</v>
      </c>
      <c r="G1" s="4" t="s">
        <v>4</v>
      </c>
      <c r="H1" s="5" t="s">
        <v>5</v>
      </c>
    </row>
    <row r="2" spans="1:8" ht="55.5" customHeight="1" x14ac:dyDescent="0.25">
      <c r="A2" s="4" t="s">
        <v>221</v>
      </c>
      <c r="B2" s="4" t="s">
        <v>222</v>
      </c>
      <c r="C2" s="286" t="s">
        <v>584</v>
      </c>
      <c r="D2" s="286" t="s">
        <v>585</v>
      </c>
      <c r="E2" s="4" t="s">
        <v>3</v>
      </c>
      <c r="F2" s="4" t="s">
        <v>18</v>
      </c>
      <c r="G2" s="4" t="s">
        <v>4</v>
      </c>
      <c r="H2" s="5" t="s">
        <v>5</v>
      </c>
    </row>
    <row r="3" spans="1:8" ht="30" customHeight="1" x14ac:dyDescent="0.25">
      <c r="A3" s="82">
        <v>2011</v>
      </c>
      <c r="B3" s="82">
        <v>2010</v>
      </c>
      <c r="C3" s="66">
        <f>50/100</f>
        <v>0.5</v>
      </c>
      <c r="D3" s="15">
        <f>2300</f>
        <v>2300</v>
      </c>
      <c r="H3" s="153" t="s">
        <v>586</v>
      </c>
    </row>
    <row r="4" spans="1:8" ht="30" customHeight="1" x14ac:dyDescent="0.25">
      <c r="A4" s="82">
        <v>2010</v>
      </c>
      <c r="B4" s="82">
        <v>2009</v>
      </c>
      <c r="C4" s="66">
        <f>50/100</f>
        <v>0.5</v>
      </c>
      <c r="D4" s="15">
        <f>2300</f>
        <v>2300</v>
      </c>
    </row>
    <row r="5" spans="1:8" ht="30" customHeight="1" x14ac:dyDescent="0.25">
      <c r="A5" s="82">
        <v>2009</v>
      </c>
      <c r="B5" s="82">
        <v>2008</v>
      </c>
      <c r="C5" s="66">
        <f>50/100</f>
        <v>0.5</v>
      </c>
      <c r="D5" s="15">
        <f>2300</f>
        <v>2300</v>
      </c>
    </row>
    <row r="6" spans="1:8" ht="30" customHeight="1" x14ac:dyDescent="0.25">
      <c r="A6" s="82">
        <v>2008</v>
      </c>
      <c r="B6" s="82">
        <v>2007</v>
      </c>
      <c r="C6" s="66">
        <f>50/100</f>
        <v>0.5</v>
      </c>
      <c r="D6" s="15">
        <f>2300</f>
        <v>2300</v>
      </c>
    </row>
    <row r="7" spans="1:8" ht="30" customHeight="1" x14ac:dyDescent="0.25">
      <c r="A7" s="82">
        <v>2007</v>
      </c>
      <c r="B7" s="82">
        <v>2006</v>
      </c>
      <c r="C7" s="66">
        <v>0.5</v>
      </c>
      <c r="D7" s="15">
        <f>2300</f>
        <v>2300</v>
      </c>
      <c r="F7" s="63" t="s">
        <v>102</v>
      </c>
      <c r="G7" s="52">
        <v>38717</v>
      </c>
      <c r="H7" s="76" t="s">
        <v>117</v>
      </c>
    </row>
    <row r="8" spans="1:8" ht="30" customHeight="1" x14ac:dyDescent="0.25">
      <c r="A8" s="82">
        <v>2006</v>
      </c>
      <c r="B8" s="82">
        <v>2005</v>
      </c>
      <c r="C8" s="66">
        <v>0.25</v>
      </c>
      <c r="D8" s="15">
        <f>2300</f>
        <v>2300</v>
      </c>
      <c r="E8" s="63" t="s">
        <v>116</v>
      </c>
      <c r="F8" s="63" t="s">
        <v>103</v>
      </c>
      <c r="G8" s="52">
        <v>38352</v>
      </c>
      <c r="H8" s="76" t="s">
        <v>115</v>
      </c>
    </row>
    <row r="9" spans="1:8" ht="30" customHeight="1" x14ac:dyDescent="0.25">
      <c r="A9" s="82">
        <v>2005</v>
      </c>
      <c r="B9" s="82">
        <v>2004</v>
      </c>
      <c r="C9" s="66">
        <v>0.25</v>
      </c>
      <c r="D9" s="15">
        <v>2300</v>
      </c>
    </row>
    <row r="10" spans="1:8" ht="30" customHeight="1" x14ac:dyDescent="0.25">
      <c r="A10" s="82">
        <v>2004</v>
      </c>
      <c r="B10" s="82">
        <v>2003</v>
      </c>
      <c r="C10" s="66">
        <v>0.25</v>
      </c>
      <c r="D10" s="15">
        <v>2300</v>
      </c>
    </row>
    <row r="11" spans="1:8" ht="30" customHeight="1" x14ac:dyDescent="0.25">
      <c r="A11" s="82">
        <v>2003</v>
      </c>
      <c r="B11" s="82">
        <v>2002</v>
      </c>
      <c r="C11" s="66">
        <v>0.25</v>
      </c>
      <c r="D11" s="15">
        <v>2300</v>
      </c>
    </row>
    <row r="12" spans="1:8" ht="30" customHeight="1" x14ac:dyDescent="0.25">
      <c r="A12" s="82">
        <v>2002</v>
      </c>
      <c r="B12" s="82">
        <v>2001</v>
      </c>
      <c r="C12" s="66">
        <v>0.25</v>
      </c>
      <c r="D12" s="15">
        <v>2300</v>
      </c>
    </row>
    <row r="13" spans="1:8" ht="30" customHeight="1" x14ac:dyDescent="0.25">
      <c r="A13" s="82">
        <v>2001</v>
      </c>
      <c r="B13" s="82">
        <v>2000</v>
      </c>
      <c r="C13" s="66">
        <f>25%</f>
        <v>0.25</v>
      </c>
      <c r="D13" s="19">
        <v>15000</v>
      </c>
    </row>
    <row r="14" spans="1:8" ht="30" customHeight="1" x14ac:dyDescent="0.25">
      <c r="A14" s="82">
        <v>2000</v>
      </c>
      <c r="B14" s="82">
        <v>1999</v>
      </c>
      <c r="C14" s="66">
        <f>25%</f>
        <v>0.25</v>
      </c>
      <c r="D14" s="19">
        <v>15000</v>
      </c>
    </row>
    <row r="15" spans="1:8" ht="30" customHeight="1" x14ac:dyDescent="0.25">
      <c r="A15" s="82">
        <v>1999</v>
      </c>
      <c r="B15" s="82">
        <v>1998</v>
      </c>
      <c r="C15" s="66">
        <f>25%</f>
        <v>0.25</v>
      </c>
      <c r="D15" s="19">
        <v>15000</v>
      </c>
    </row>
    <row r="16" spans="1:8" ht="30" customHeight="1" x14ac:dyDescent="0.25">
      <c r="A16" s="82">
        <v>1998</v>
      </c>
      <c r="B16" s="82">
        <v>1997</v>
      </c>
      <c r="C16" s="66">
        <f>25%</f>
        <v>0.25</v>
      </c>
      <c r="D16" s="19">
        <v>15000</v>
      </c>
    </row>
    <row r="17" spans="1:8" ht="30" customHeight="1" x14ac:dyDescent="0.25">
      <c r="A17" s="82">
        <v>1997</v>
      </c>
      <c r="B17" s="82">
        <v>1996</v>
      </c>
      <c r="C17" s="66">
        <f>25%</f>
        <v>0.25</v>
      </c>
      <c r="D17" s="19">
        <v>15000</v>
      </c>
    </row>
    <row r="18" spans="1:8" ht="30" customHeight="1" x14ac:dyDescent="0.25">
      <c r="A18" s="82">
        <v>1996</v>
      </c>
      <c r="B18" s="82">
        <v>1995</v>
      </c>
      <c r="C18" s="66">
        <f>25%</f>
        <v>0.25</v>
      </c>
      <c r="D18" s="19">
        <v>15000</v>
      </c>
    </row>
    <row r="19" spans="1:8" ht="30" customHeight="1" x14ac:dyDescent="0.25">
      <c r="A19" s="82">
        <v>1995</v>
      </c>
      <c r="B19" s="82">
        <v>1994</v>
      </c>
      <c r="C19" s="66">
        <f>25%</f>
        <v>0.25</v>
      </c>
      <c r="D19" s="19">
        <v>15000</v>
      </c>
    </row>
    <row r="20" spans="1:8" ht="30" customHeight="1" x14ac:dyDescent="0.25">
      <c r="A20" s="82">
        <v>1994</v>
      </c>
      <c r="B20" s="82">
        <v>1993</v>
      </c>
      <c r="C20" s="34"/>
      <c r="D20" s="34"/>
      <c r="H20" s="310" t="s">
        <v>120</v>
      </c>
    </row>
    <row r="21" spans="1:8" ht="30" customHeight="1" x14ac:dyDescent="0.25">
      <c r="A21" s="82">
        <v>1993</v>
      </c>
      <c r="B21" s="82">
        <v>1992</v>
      </c>
      <c r="C21" s="14"/>
      <c r="D21" s="14"/>
      <c r="H21" s="310"/>
    </row>
    <row r="22" spans="1:8" ht="30" customHeight="1" x14ac:dyDescent="0.25">
      <c r="A22" s="82">
        <v>1992</v>
      </c>
      <c r="B22" s="82">
        <v>1991</v>
      </c>
      <c r="C22" s="14"/>
      <c r="D22" s="14"/>
      <c r="H22" s="310"/>
    </row>
    <row r="23" spans="1:8" ht="30" customHeight="1" x14ac:dyDescent="0.25">
      <c r="A23" s="82">
        <v>1991</v>
      </c>
      <c r="B23" s="82">
        <v>1990</v>
      </c>
      <c r="H23" s="310"/>
    </row>
    <row r="24" spans="1:8" ht="30" customHeight="1" x14ac:dyDescent="0.25">
      <c r="A24" s="82">
        <v>1990</v>
      </c>
      <c r="B24" s="82">
        <v>1989</v>
      </c>
      <c r="H24" s="310"/>
    </row>
    <row r="25" spans="1:8" ht="30" customHeight="1" x14ac:dyDescent="0.25">
      <c r="A25" s="82">
        <v>1989</v>
      </c>
      <c r="B25" s="82">
        <v>1988</v>
      </c>
      <c r="H25" s="310"/>
    </row>
    <row r="26" spans="1:8" ht="30" customHeight="1" x14ac:dyDescent="0.25">
      <c r="A26" s="82">
        <v>1988</v>
      </c>
      <c r="B26" s="82">
        <v>1987</v>
      </c>
    </row>
    <row r="27" spans="1:8" ht="30" customHeight="1" x14ac:dyDescent="0.25">
      <c r="A27" s="82">
        <v>1987</v>
      </c>
      <c r="B27" s="82">
        <v>1986</v>
      </c>
    </row>
    <row r="28" spans="1:8" ht="30" customHeight="1" x14ac:dyDescent="0.25">
      <c r="A28" s="82">
        <v>1986</v>
      </c>
      <c r="B28" s="82">
        <v>1985</v>
      </c>
    </row>
    <row r="29" spans="1:8" ht="30" customHeight="1" x14ac:dyDescent="0.25">
      <c r="A29" s="82">
        <v>1985</v>
      </c>
      <c r="B29" s="82">
        <v>1984</v>
      </c>
    </row>
    <row r="30" spans="1:8" ht="30" customHeight="1" x14ac:dyDescent="0.25">
      <c r="A30" s="82">
        <v>1984</v>
      </c>
      <c r="B30" s="82">
        <v>1983</v>
      </c>
    </row>
    <row r="31" spans="1:8" ht="30" customHeight="1" x14ac:dyDescent="0.25">
      <c r="A31" s="82">
        <v>1983</v>
      </c>
      <c r="B31" s="82">
        <v>1982</v>
      </c>
    </row>
    <row r="32" spans="1:8" ht="30" customHeight="1" x14ac:dyDescent="0.25">
      <c r="A32" s="82">
        <v>1982</v>
      </c>
      <c r="B32" s="82">
        <v>1981</v>
      </c>
    </row>
    <row r="87" spans="1:2" ht="30" customHeight="1" x14ac:dyDescent="0.25">
      <c r="A87" s="147"/>
      <c r="B87" s="147"/>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sheetData>
  <mergeCells count="1">
    <mergeCell ref="H20:H2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5"/>
  <sheetViews>
    <sheetView workbookViewId="0">
      <pane xSplit="2" ySplit="2" topLeftCell="O3" activePane="bottomRight" state="frozen"/>
      <selection pane="topRight" activeCell="B1" sqref="B1"/>
      <selection pane="bottomLeft" activeCell="A2" sqref="A2"/>
      <selection pane="bottomRight" sqref="A1:XFD1"/>
    </sheetView>
  </sheetViews>
  <sheetFormatPr baseColWidth="10" defaultColWidth="20.7109375" defaultRowHeight="30" customHeight="1" x14ac:dyDescent="0.25"/>
  <cols>
    <col min="1" max="2" width="20.7109375" style="72"/>
    <col min="5" max="5" width="23.28515625" customWidth="1"/>
    <col min="7" max="7" width="29" customWidth="1"/>
    <col min="9" max="9" width="24.140625" customWidth="1"/>
    <col min="10" max="10" width="23.42578125" customWidth="1"/>
    <col min="20" max="20" width="28.7109375" customWidth="1"/>
    <col min="22" max="22" width="60.42578125" style="31" customWidth="1"/>
  </cols>
  <sheetData>
    <row r="1" spans="1:26" ht="30" hidden="1" customHeight="1" x14ac:dyDescent="0.25">
      <c r="A1" s="4" t="s">
        <v>221</v>
      </c>
      <c r="B1" s="4" t="s">
        <v>222</v>
      </c>
      <c r="C1" s="4" t="s">
        <v>31</v>
      </c>
      <c r="D1" s="4" t="s">
        <v>32</v>
      </c>
      <c r="E1" s="4" t="s">
        <v>33</v>
      </c>
      <c r="F1" s="27" t="s">
        <v>34</v>
      </c>
      <c r="G1" s="28" t="s">
        <v>35</v>
      </c>
      <c r="H1" s="28" t="s">
        <v>36</v>
      </c>
      <c r="I1" s="28" t="s">
        <v>37</v>
      </c>
      <c r="J1" s="28" t="s">
        <v>38</v>
      </c>
      <c r="K1" s="28" t="s">
        <v>39</v>
      </c>
      <c r="L1" s="28" t="s">
        <v>40</v>
      </c>
      <c r="M1" s="28" t="s">
        <v>41</v>
      </c>
      <c r="N1" s="28" t="s">
        <v>44</v>
      </c>
      <c r="O1" s="225" t="s">
        <v>45</v>
      </c>
      <c r="P1" s="28" t="s">
        <v>42</v>
      </c>
      <c r="Q1" s="28" t="s">
        <v>43</v>
      </c>
      <c r="R1" s="27" t="s">
        <v>46</v>
      </c>
      <c r="S1" s="4" t="s">
        <v>3</v>
      </c>
      <c r="T1" s="4" t="s">
        <v>18</v>
      </c>
      <c r="U1" s="4" t="s">
        <v>4</v>
      </c>
      <c r="V1" s="5" t="s">
        <v>5</v>
      </c>
      <c r="W1" s="16"/>
      <c r="X1" s="16"/>
      <c r="Y1" s="16"/>
      <c r="Z1" s="16"/>
    </row>
    <row r="2" spans="1:26" ht="87" customHeight="1" x14ac:dyDescent="0.25">
      <c r="A2" s="4" t="s">
        <v>221</v>
      </c>
      <c r="B2" s="4" t="s">
        <v>222</v>
      </c>
      <c r="C2" s="4" t="s">
        <v>550</v>
      </c>
      <c r="D2" s="4" t="s">
        <v>551</v>
      </c>
      <c r="E2" s="4" t="s">
        <v>552</v>
      </c>
      <c r="F2" s="289" t="s">
        <v>553</v>
      </c>
      <c r="G2" s="265" t="s">
        <v>554</v>
      </c>
      <c r="H2" s="265" t="s">
        <v>555</v>
      </c>
      <c r="I2" s="265" t="s">
        <v>556</v>
      </c>
      <c r="J2" s="265" t="s">
        <v>557</v>
      </c>
      <c r="K2" s="265" t="s">
        <v>564</v>
      </c>
      <c r="L2" s="265" t="s">
        <v>565</v>
      </c>
      <c r="M2" s="265" t="s">
        <v>566</v>
      </c>
      <c r="N2" s="265" t="s">
        <v>558</v>
      </c>
      <c r="O2" s="264" t="s">
        <v>559</v>
      </c>
      <c r="P2" s="265" t="s">
        <v>560</v>
      </c>
      <c r="Q2" s="265" t="s">
        <v>561</v>
      </c>
      <c r="R2" s="289" t="s">
        <v>563</v>
      </c>
      <c r="S2" s="4" t="s">
        <v>562</v>
      </c>
      <c r="T2" s="4" t="s">
        <v>18</v>
      </c>
      <c r="U2" s="4" t="s">
        <v>4</v>
      </c>
      <c r="V2" s="5" t="s">
        <v>5</v>
      </c>
      <c r="W2" s="16"/>
      <c r="X2" s="16"/>
      <c r="Y2" s="16"/>
      <c r="Z2" s="16"/>
    </row>
    <row r="3" spans="1:26" s="109" customFormat="1" ht="30" customHeight="1" x14ac:dyDescent="0.25">
      <c r="A3" s="82">
        <v>2012</v>
      </c>
      <c r="B3" s="82">
        <v>2011</v>
      </c>
      <c r="C3" s="39">
        <v>16251</v>
      </c>
      <c r="D3" s="39">
        <v>32498</v>
      </c>
      <c r="E3" s="39">
        <v>4490</v>
      </c>
      <c r="F3" s="39">
        <v>3743</v>
      </c>
      <c r="G3" s="39">
        <v>12475</v>
      </c>
      <c r="H3" s="39">
        <v>17451</v>
      </c>
      <c r="I3" s="39">
        <v>24950</v>
      </c>
      <c r="J3" s="39">
        <v>26572</v>
      </c>
      <c r="K3" s="50">
        <v>7.6999999999999999E-2</v>
      </c>
      <c r="L3" s="50">
        <v>0.193</v>
      </c>
      <c r="M3" s="50">
        <v>5.0999999999999997E-2</v>
      </c>
      <c r="N3" s="40">
        <v>0.85</v>
      </c>
      <c r="O3" s="42">
        <v>0.15</v>
      </c>
      <c r="P3" s="39">
        <v>83</v>
      </c>
      <c r="Q3" s="39">
        <v>36</v>
      </c>
      <c r="R3" s="38">
        <v>30</v>
      </c>
      <c r="S3" s="177"/>
      <c r="T3" s="177"/>
      <c r="U3" s="177"/>
      <c r="V3" s="54" t="s">
        <v>169</v>
      </c>
      <c r="W3" s="196"/>
      <c r="X3" s="196"/>
      <c r="Y3" s="196"/>
      <c r="Z3" s="196"/>
    </row>
    <row r="4" spans="1:26" ht="30" customHeight="1" x14ac:dyDescent="0.25">
      <c r="A4" s="82">
        <v>2011</v>
      </c>
      <c r="B4" s="82">
        <v>2010</v>
      </c>
      <c r="C4" s="39">
        <v>16251</v>
      </c>
      <c r="D4" s="39">
        <v>32498</v>
      </c>
      <c r="E4" s="39">
        <v>4490</v>
      </c>
      <c r="F4" s="39">
        <v>3743</v>
      </c>
      <c r="G4" s="39">
        <v>12475</v>
      </c>
      <c r="H4" s="39">
        <v>17451</v>
      </c>
      <c r="I4" s="39">
        <v>24950</v>
      </c>
      <c r="J4" s="39">
        <v>26572</v>
      </c>
      <c r="K4" s="50">
        <v>7.6999999999999999E-2</v>
      </c>
      <c r="L4" s="50">
        <v>0.193</v>
      </c>
      <c r="M4" s="50">
        <v>5.0999999999999997E-2</v>
      </c>
      <c r="N4" s="40">
        <v>0.85</v>
      </c>
      <c r="O4" s="42">
        <v>0.15</v>
      </c>
      <c r="P4" s="39">
        <v>83</v>
      </c>
      <c r="Q4" s="39">
        <v>36</v>
      </c>
      <c r="R4" s="38">
        <v>30</v>
      </c>
      <c r="S4" s="68"/>
      <c r="T4" s="63"/>
      <c r="U4" s="52"/>
      <c r="W4" s="45"/>
      <c r="X4" s="14"/>
      <c r="Y4" s="14"/>
      <c r="Z4" s="14"/>
    </row>
    <row r="5" spans="1:26" ht="30" customHeight="1" x14ac:dyDescent="0.25">
      <c r="A5" s="82">
        <v>2010</v>
      </c>
      <c r="B5" s="82">
        <v>2009</v>
      </c>
      <c r="C5" s="39">
        <v>16251</v>
      </c>
      <c r="D5" s="39">
        <v>32498</v>
      </c>
      <c r="E5" s="39">
        <v>4490</v>
      </c>
      <c r="F5" s="39">
        <v>3743</v>
      </c>
      <c r="G5" s="39">
        <v>12475</v>
      </c>
      <c r="H5" s="39">
        <v>17451</v>
      </c>
      <c r="I5" s="39">
        <v>24950</v>
      </c>
      <c r="J5" s="39">
        <v>26572</v>
      </c>
      <c r="K5" s="50">
        <v>7.6999999999999999E-2</v>
      </c>
      <c r="L5" s="50">
        <v>0.193</v>
      </c>
      <c r="M5" s="50">
        <v>5.0999999999999997E-2</v>
      </c>
      <c r="N5" s="40">
        <v>0.85</v>
      </c>
      <c r="O5" s="42">
        <v>0.15</v>
      </c>
      <c r="P5" s="39">
        <v>83</v>
      </c>
      <c r="Q5" s="39">
        <v>36</v>
      </c>
      <c r="R5" s="38">
        <v>30</v>
      </c>
      <c r="S5" s="51"/>
      <c r="T5" s="51"/>
      <c r="U5" s="52"/>
      <c r="V5" s="54"/>
      <c r="W5" s="45"/>
      <c r="X5" s="14"/>
      <c r="Y5" s="14"/>
      <c r="Z5" s="14"/>
    </row>
    <row r="6" spans="1:26" ht="30" customHeight="1" x14ac:dyDescent="0.25">
      <c r="A6" s="82">
        <v>2009</v>
      </c>
      <c r="B6" s="82">
        <v>2008</v>
      </c>
      <c r="C6" s="39">
        <v>16251</v>
      </c>
      <c r="D6" s="39">
        <v>32498</v>
      </c>
      <c r="E6" s="39">
        <v>4490</v>
      </c>
      <c r="F6" s="39">
        <v>3743</v>
      </c>
      <c r="G6" s="39">
        <v>12475</v>
      </c>
      <c r="H6" s="39">
        <v>17451</v>
      </c>
      <c r="I6" s="39">
        <v>24950</v>
      </c>
      <c r="J6" s="39">
        <v>26572</v>
      </c>
      <c r="K6" s="50">
        <v>7.6999999999999999E-2</v>
      </c>
      <c r="L6" s="50">
        <v>0.193</v>
      </c>
      <c r="M6" s="50">
        <v>5.0999999999999997E-2</v>
      </c>
      <c r="N6" s="40">
        <v>0.85</v>
      </c>
      <c r="O6" s="42">
        <v>0.15</v>
      </c>
      <c r="P6" s="39">
        <v>83</v>
      </c>
      <c r="Q6" s="39">
        <v>36</v>
      </c>
      <c r="R6" s="38">
        <v>30</v>
      </c>
      <c r="S6" s="51"/>
      <c r="T6" s="51"/>
      <c r="U6" s="52"/>
      <c r="V6" s="54"/>
      <c r="W6" s="45"/>
      <c r="X6" s="14"/>
      <c r="Y6" s="14"/>
      <c r="Z6" s="14"/>
    </row>
    <row r="7" spans="1:26" ht="30" customHeight="1" x14ac:dyDescent="0.25">
      <c r="A7" s="82">
        <v>2008</v>
      </c>
      <c r="B7" s="82">
        <v>2007</v>
      </c>
      <c r="C7" s="38">
        <v>16251</v>
      </c>
      <c r="D7" s="38">
        <v>32498</v>
      </c>
      <c r="E7" s="38">
        <v>4490</v>
      </c>
      <c r="F7" s="38">
        <v>3743</v>
      </c>
      <c r="G7" s="38">
        <v>12475</v>
      </c>
      <c r="H7" s="38">
        <v>17451</v>
      </c>
      <c r="I7" s="38">
        <v>24950</v>
      </c>
      <c r="J7" s="38">
        <v>26572</v>
      </c>
      <c r="K7" s="46">
        <v>7.6999999999999999E-2</v>
      </c>
      <c r="L7" s="46">
        <v>0.193</v>
      </c>
      <c r="M7" s="46">
        <v>5.0999999999999997E-2</v>
      </c>
      <c r="N7" s="42">
        <v>0.85</v>
      </c>
      <c r="O7" s="42">
        <v>0.15</v>
      </c>
      <c r="P7" s="38">
        <v>83</v>
      </c>
      <c r="Q7" s="38">
        <v>36</v>
      </c>
      <c r="R7" s="38">
        <v>30</v>
      </c>
      <c r="S7" s="53" t="s">
        <v>567</v>
      </c>
      <c r="T7" s="63" t="s">
        <v>101</v>
      </c>
      <c r="U7" s="52">
        <v>39443</v>
      </c>
      <c r="V7" s="54"/>
      <c r="W7" s="45"/>
      <c r="X7" s="14"/>
      <c r="Y7" s="14"/>
      <c r="Z7" s="14"/>
    </row>
    <row r="8" spans="1:26" ht="30" customHeight="1" x14ac:dyDescent="0.25">
      <c r="A8" s="82">
        <v>2007</v>
      </c>
      <c r="B8" s="82">
        <v>2006</v>
      </c>
      <c r="C8" s="38">
        <v>16042</v>
      </c>
      <c r="D8" s="38">
        <v>32081</v>
      </c>
      <c r="E8" s="38">
        <v>4432</v>
      </c>
      <c r="F8" s="38">
        <v>3695</v>
      </c>
      <c r="G8" s="38">
        <v>12315</v>
      </c>
      <c r="H8" s="38">
        <v>17227</v>
      </c>
      <c r="I8" s="38">
        <v>24630</v>
      </c>
      <c r="J8" s="38">
        <v>26231</v>
      </c>
      <c r="K8" s="46">
        <v>7.6999999999999999E-2</v>
      </c>
      <c r="L8" s="46">
        <v>0.193</v>
      </c>
      <c r="M8" s="46">
        <v>5.0999999999999997E-2</v>
      </c>
      <c r="N8" s="42">
        <v>0.85</v>
      </c>
      <c r="O8" s="42">
        <v>0.15</v>
      </c>
      <c r="P8" s="38">
        <v>82</v>
      </c>
      <c r="Q8" s="38">
        <v>36</v>
      </c>
      <c r="R8" s="38">
        <v>30</v>
      </c>
      <c r="S8" s="51" t="s">
        <v>568</v>
      </c>
      <c r="T8" s="63" t="s">
        <v>107</v>
      </c>
      <c r="U8" s="52">
        <v>39078</v>
      </c>
      <c r="V8" s="54"/>
      <c r="W8" s="45"/>
      <c r="X8" s="14"/>
      <c r="Y8" s="14"/>
      <c r="Z8" s="14"/>
    </row>
    <row r="9" spans="1:26" ht="30" customHeight="1" x14ac:dyDescent="0.25">
      <c r="A9" s="82">
        <v>2006</v>
      </c>
      <c r="B9" s="82">
        <v>2005</v>
      </c>
      <c r="C9" s="38">
        <v>12606</v>
      </c>
      <c r="D9" s="38">
        <v>25211</v>
      </c>
      <c r="E9" s="38">
        <v>3483</v>
      </c>
      <c r="F9" s="38">
        <v>3570</v>
      </c>
      <c r="G9" s="38">
        <v>11899</v>
      </c>
      <c r="H9" s="38">
        <v>16659</v>
      </c>
      <c r="I9" s="38">
        <v>23798</v>
      </c>
      <c r="J9" s="38">
        <v>25376</v>
      </c>
      <c r="K9" s="50">
        <f>6.8/100</f>
        <v>6.8000000000000005E-2</v>
      </c>
      <c r="L9" s="46">
        <v>0.17</v>
      </c>
      <c r="M9" s="46">
        <v>5.5E-2</v>
      </c>
      <c r="N9" s="42">
        <v>0.65</v>
      </c>
      <c r="O9" s="42">
        <v>0.35</v>
      </c>
      <c r="P9" s="38">
        <v>81</v>
      </c>
      <c r="Q9" s="38">
        <v>35</v>
      </c>
      <c r="R9" s="38">
        <v>30</v>
      </c>
      <c r="S9" s="51" t="s">
        <v>569</v>
      </c>
      <c r="T9" s="63" t="s">
        <v>102</v>
      </c>
      <c r="U9" s="52">
        <v>38717</v>
      </c>
      <c r="V9" s="54"/>
      <c r="W9" s="37"/>
    </row>
    <row r="10" spans="1:26" ht="30" customHeight="1" x14ac:dyDescent="0.25">
      <c r="A10" s="82">
        <v>2005</v>
      </c>
      <c r="B10" s="82">
        <v>2004</v>
      </c>
      <c r="C10" s="38">
        <v>12383</v>
      </c>
      <c r="D10" s="38">
        <v>24765</v>
      </c>
      <c r="E10" s="38">
        <v>3421</v>
      </c>
      <c r="F10" s="38">
        <v>3507</v>
      </c>
      <c r="G10" s="38">
        <v>11869</v>
      </c>
      <c r="H10" s="38">
        <v>16364</v>
      </c>
      <c r="I10" s="38">
        <v>23377</v>
      </c>
      <c r="J10" s="38">
        <v>24927</v>
      </c>
      <c r="K10" s="46">
        <v>4.5999999999999999E-2</v>
      </c>
      <c r="L10" s="46">
        <v>0.115</v>
      </c>
      <c r="M10" s="46">
        <v>5.5E-2</v>
      </c>
      <c r="N10" s="42">
        <v>0.45</v>
      </c>
      <c r="O10" s="42">
        <v>0.55000000000000004</v>
      </c>
      <c r="P10" s="38">
        <v>81</v>
      </c>
      <c r="Q10" s="38">
        <v>34</v>
      </c>
      <c r="R10" s="38">
        <v>25</v>
      </c>
      <c r="S10" s="51" t="s">
        <v>570</v>
      </c>
      <c r="T10" s="63" t="s">
        <v>103</v>
      </c>
      <c r="U10" s="52">
        <v>38352</v>
      </c>
      <c r="V10" s="54"/>
      <c r="W10" s="37"/>
    </row>
    <row r="11" spans="1:26" ht="30" customHeight="1" x14ac:dyDescent="0.25">
      <c r="A11" s="82">
        <v>2004</v>
      </c>
      <c r="B11" s="82">
        <v>2003</v>
      </c>
      <c r="C11" s="38">
        <v>12176</v>
      </c>
      <c r="D11" s="38">
        <v>24351</v>
      </c>
      <c r="E11" s="38">
        <v>3364</v>
      </c>
      <c r="F11" s="38">
        <v>3372</v>
      </c>
      <c r="G11" s="38">
        <v>11239</v>
      </c>
      <c r="H11" s="38">
        <v>15735</v>
      </c>
      <c r="I11" s="38">
        <v>22478</v>
      </c>
      <c r="J11" s="38">
        <v>23968</v>
      </c>
      <c r="K11" s="46">
        <v>4.5999999999999999E-2</v>
      </c>
      <c r="L11" s="46">
        <v>0.115</v>
      </c>
      <c r="M11" s="46">
        <v>5.5E-2</v>
      </c>
      <c r="N11" s="42">
        <v>0.45</v>
      </c>
      <c r="O11" s="42">
        <v>0.55000000000000004</v>
      </c>
      <c r="P11" s="38">
        <v>80</v>
      </c>
      <c r="Q11" s="38">
        <v>33</v>
      </c>
      <c r="R11" s="38">
        <v>25</v>
      </c>
      <c r="S11" s="51" t="s">
        <v>571</v>
      </c>
      <c r="T11" s="63" t="s">
        <v>105</v>
      </c>
      <c r="U11" s="52">
        <v>37986</v>
      </c>
      <c r="V11" s="54"/>
      <c r="W11" s="37"/>
    </row>
    <row r="12" spans="1:26" ht="30" customHeight="1" x14ac:dyDescent="0.25">
      <c r="A12" s="82">
        <v>2003</v>
      </c>
      <c r="B12" s="82">
        <v>2002</v>
      </c>
      <c r="C12" s="38">
        <v>11972</v>
      </c>
      <c r="D12" s="38">
        <v>23944</v>
      </c>
      <c r="E12" s="38">
        <v>3308</v>
      </c>
      <c r="F12" s="38">
        <v>3265</v>
      </c>
      <c r="G12" s="38">
        <v>10882</v>
      </c>
      <c r="H12" s="38">
        <v>15235</v>
      </c>
      <c r="I12" s="38">
        <v>21764</v>
      </c>
      <c r="J12" s="38">
        <v>23207</v>
      </c>
      <c r="K12" s="46">
        <f>4.4/100</f>
        <v>4.4000000000000004E-2</v>
      </c>
      <c r="L12" s="46">
        <f>11/100</f>
        <v>0.11</v>
      </c>
      <c r="M12" s="46">
        <v>5.5E-2</v>
      </c>
      <c r="N12" s="42">
        <v>0.45</v>
      </c>
      <c r="O12" s="42">
        <v>0.55000000000000004</v>
      </c>
      <c r="P12" s="38">
        <v>79</v>
      </c>
      <c r="Q12" s="38">
        <v>32</v>
      </c>
      <c r="R12" s="38">
        <v>25</v>
      </c>
      <c r="S12" s="51" t="s">
        <v>572</v>
      </c>
      <c r="T12" s="63" t="s">
        <v>104</v>
      </c>
      <c r="U12" s="52">
        <v>37621</v>
      </c>
      <c r="V12" s="54" t="s">
        <v>47</v>
      </c>
      <c r="W12" s="37"/>
    </row>
    <row r="13" spans="1:26" ht="30" customHeight="1" x14ac:dyDescent="0.25">
      <c r="A13" s="82">
        <v>2002</v>
      </c>
      <c r="B13" s="82">
        <v>2001</v>
      </c>
      <c r="C13" s="38">
        <v>11772</v>
      </c>
      <c r="D13" s="38">
        <v>23544</v>
      </c>
      <c r="E13" s="38">
        <v>3253</v>
      </c>
      <c r="F13" s="38">
        <v>3187</v>
      </c>
      <c r="G13" s="38">
        <f>10623</f>
        <v>10623</v>
      </c>
      <c r="H13" s="38">
        <v>14872</v>
      </c>
      <c r="I13" s="38">
        <f>21246</f>
        <v>21246</v>
      </c>
      <c r="J13" s="38">
        <v>22654</v>
      </c>
      <c r="K13" s="46">
        <f>4.4/100</f>
        <v>4.4000000000000004E-2</v>
      </c>
      <c r="L13" s="46">
        <f>11/100</f>
        <v>0.11</v>
      </c>
      <c r="M13" s="46">
        <v>5.5E-2</v>
      </c>
      <c r="N13" s="129"/>
      <c r="O13" s="129"/>
      <c r="P13" s="38">
        <v>78</v>
      </c>
      <c r="Q13" s="38">
        <v>31</v>
      </c>
      <c r="R13" s="38">
        <v>25</v>
      </c>
      <c r="S13" s="51" t="s">
        <v>573</v>
      </c>
      <c r="T13" s="51" t="s">
        <v>49</v>
      </c>
      <c r="U13" s="52"/>
      <c r="V13" s="54"/>
      <c r="W13" s="37"/>
    </row>
    <row r="14" spans="1:26" ht="30" customHeight="1" x14ac:dyDescent="0.25">
      <c r="A14" s="82">
        <v>2001</v>
      </c>
      <c r="B14" s="82">
        <v>2000</v>
      </c>
      <c r="C14" s="43">
        <v>76000</v>
      </c>
      <c r="D14" s="43">
        <v>152000</v>
      </c>
      <c r="E14" s="43">
        <v>21000</v>
      </c>
      <c r="F14" s="43">
        <v>20575</v>
      </c>
      <c r="G14" s="43">
        <v>68583</v>
      </c>
      <c r="H14" s="43">
        <v>96016</v>
      </c>
      <c r="I14" s="43">
        <v>137166</v>
      </c>
      <c r="J14" s="43">
        <v>146257</v>
      </c>
      <c r="K14" s="46">
        <v>2.2000000000000002E-2</v>
      </c>
      <c r="L14" s="46">
        <v>5.5E-2</v>
      </c>
      <c r="M14" s="46">
        <v>5.5E-2</v>
      </c>
      <c r="N14" s="130"/>
      <c r="O14" s="130"/>
      <c r="P14" s="44">
        <v>500</v>
      </c>
      <c r="Q14" s="43">
        <v>200</v>
      </c>
      <c r="R14" s="43">
        <v>160</v>
      </c>
      <c r="S14" s="51" t="s">
        <v>574</v>
      </c>
      <c r="T14" s="51" t="s">
        <v>48</v>
      </c>
      <c r="U14" s="52">
        <v>36891</v>
      </c>
      <c r="V14" s="53" t="s">
        <v>50</v>
      </c>
      <c r="W14" s="37"/>
    </row>
    <row r="15" spans="1:26" ht="30" customHeight="1" x14ac:dyDescent="0.25">
      <c r="A15" s="82">
        <v>2000</v>
      </c>
      <c r="B15" s="82">
        <v>1999</v>
      </c>
      <c r="C15" s="55"/>
      <c r="D15" s="44"/>
      <c r="E15" s="43"/>
      <c r="F15" s="43"/>
      <c r="G15" s="43"/>
      <c r="H15" s="47"/>
      <c r="I15" s="56"/>
      <c r="J15" s="48"/>
      <c r="K15" s="48"/>
      <c r="L15" s="48"/>
      <c r="M15" s="49"/>
      <c r="N15" s="49"/>
      <c r="O15" s="49"/>
      <c r="P15" s="49"/>
      <c r="Q15" s="49"/>
      <c r="R15" s="49"/>
      <c r="S15" s="51"/>
      <c r="T15" s="51"/>
      <c r="U15" s="52"/>
      <c r="V15" s="57"/>
      <c r="W15" s="37"/>
    </row>
    <row r="16" spans="1:26" ht="30" customHeight="1" x14ac:dyDescent="0.25">
      <c r="A16" s="82">
        <v>1999</v>
      </c>
      <c r="B16" s="82">
        <v>1998</v>
      </c>
      <c r="C16" s="55"/>
      <c r="D16" s="43"/>
      <c r="E16" s="43"/>
      <c r="F16" s="43"/>
      <c r="G16" s="43"/>
      <c r="H16" s="47"/>
      <c r="I16" s="48"/>
      <c r="J16" s="48"/>
      <c r="K16" s="48"/>
      <c r="L16" s="48"/>
      <c r="M16" s="49"/>
      <c r="N16" s="49"/>
      <c r="O16" s="49"/>
      <c r="P16" s="49"/>
      <c r="Q16" s="49"/>
      <c r="R16" s="49"/>
      <c r="S16" s="51"/>
      <c r="T16" s="51"/>
      <c r="U16" s="52"/>
      <c r="V16" s="57"/>
      <c r="W16" s="37"/>
    </row>
    <row r="17" spans="1:23" ht="30" customHeight="1" x14ac:dyDescent="0.25">
      <c r="A17" s="82">
        <v>1998</v>
      </c>
      <c r="B17" s="82">
        <v>1997</v>
      </c>
      <c r="C17" s="55"/>
      <c r="D17" s="58"/>
      <c r="E17" s="58"/>
      <c r="F17" s="58"/>
      <c r="G17" s="58"/>
      <c r="H17" s="47"/>
      <c r="I17" s="59"/>
      <c r="J17" s="59"/>
      <c r="K17" s="59"/>
      <c r="L17" s="59"/>
      <c r="M17" s="58"/>
      <c r="N17" s="58"/>
      <c r="O17" s="58"/>
      <c r="P17" s="58"/>
      <c r="Q17" s="58"/>
      <c r="R17" s="58"/>
      <c r="S17" s="51"/>
      <c r="T17" s="51"/>
      <c r="U17" s="52"/>
      <c r="V17" s="57"/>
      <c r="W17" s="37"/>
    </row>
    <row r="18" spans="1:23" ht="30" customHeight="1" x14ac:dyDescent="0.25">
      <c r="A18" s="82">
        <v>1997</v>
      </c>
      <c r="B18" s="82">
        <v>1996</v>
      </c>
      <c r="C18" s="32"/>
      <c r="D18" s="19"/>
      <c r="E18" s="19"/>
      <c r="F18" s="19"/>
      <c r="G18" s="19"/>
      <c r="H18" s="24"/>
      <c r="I18" s="25"/>
      <c r="J18" s="25"/>
      <c r="K18" s="25"/>
      <c r="L18" s="25"/>
      <c r="M18" s="17"/>
      <c r="N18" s="17"/>
      <c r="O18" s="17"/>
      <c r="P18" s="17"/>
      <c r="Q18" s="17"/>
      <c r="R18" s="17"/>
      <c r="S18" s="26"/>
      <c r="T18" s="26"/>
      <c r="U18" s="52"/>
      <c r="V18" s="29"/>
    </row>
    <row r="19" spans="1:23" ht="30" customHeight="1" x14ac:dyDescent="0.25">
      <c r="A19" s="82">
        <v>1996</v>
      </c>
      <c r="B19" s="82">
        <v>1995</v>
      </c>
      <c r="C19" s="32"/>
      <c r="H19" s="23"/>
      <c r="I19" s="23"/>
      <c r="J19" s="23"/>
      <c r="K19" s="23"/>
      <c r="L19" s="23"/>
      <c r="V19" s="29"/>
    </row>
    <row r="20" spans="1:23" ht="30" customHeight="1" x14ac:dyDescent="0.25">
      <c r="A20" s="82">
        <v>1995</v>
      </c>
      <c r="B20" s="82">
        <v>1994</v>
      </c>
      <c r="C20" s="32"/>
      <c r="D20" s="18"/>
      <c r="E20" s="18"/>
      <c r="F20" s="18"/>
      <c r="G20" s="18"/>
      <c r="H20" s="21"/>
      <c r="I20" s="21"/>
      <c r="J20" s="21"/>
      <c r="K20" s="21"/>
      <c r="L20" s="21"/>
      <c r="M20" s="18"/>
      <c r="N20" s="18"/>
      <c r="O20" s="18"/>
      <c r="P20" s="18"/>
      <c r="Q20" s="18"/>
      <c r="R20" s="18"/>
      <c r="S20" s="7"/>
      <c r="T20" s="7"/>
      <c r="U20" s="8"/>
      <c r="V20" s="29"/>
    </row>
    <row r="21" spans="1:23" ht="30" customHeight="1" x14ac:dyDescent="0.25">
      <c r="A21" s="82">
        <v>1994</v>
      </c>
      <c r="B21" s="82">
        <v>1993</v>
      </c>
      <c r="C21" s="32"/>
      <c r="D21" s="18"/>
      <c r="E21" s="18"/>
      <c r="F21" s="18"/>
      <c r="G21" s="18"/>
      <c r="H21" s="21"/>
      <c r="I21" s="21"/>
      <c r="J21" s="21"/>
      <c r="K21" s="21"/>
      <c r="L21" s="21"/>
      <c r="M21" s="18"/>
      <c r="N21" s="18"/>
      <c r="O21" s="18"/>
      <c r="P21" s="18"/>
      <c r="Q21" s="18"/>
      <c r="R21" s="18"/>
      <c r="S21" s="7"/>
      <c r="T21" s="7"/>
      <c r="U21" s="8"/>
      <c r="V21" s="29"/>
    </row>
    <row r="22" spans="1:23" ht="30" customHeight="1" x14ac:dyDescent="0.25">
      <c r="A22" s="82">
        <v>1993</v>
      </c>
      <c r="B22" s="82">
        <v>1992</v>
      </c>
      <c r="C22" s="32"/>
      <c r="D22" s="18"/>
      <c r="E22" s="18"/>
      <c r="F22" s="18"/>
      <c r="G22" s="18"/>
      <c r="H22" s="21"/>
      <c r="I22" s="21"/>
      <c r="J22" s="21"/>
      <c r="K22" s="21"/>
      <c r="L22" s="21"/>
      <c r="M22" s="18"/>
      <c r="N22" s="18"/>
      <c r="O22" s="18"/>
      <c r="P22" s="18"/>
      <c r="Q22" s="18"/>
      <c r="R22" s="18"/>
      <c r="S22" s="7"/>
      <c r="T22" s="7"/>
      <c r="U22" s="8"/>
      <c r="V22" s="29"/>
    </row>
    <row r="23" spans="1:23" ht="30" customHeight="1" x14ac:dyDescent="0.25">
      <c r="A23" s="82">
        <v>1992</v>
      </c>
      <c r="B23" s="82">
        <v>1991</v>
      </c>
      <c r="C23" s="32"/>
      <c r="D23" s="18"/>
      <c r="E23" s="18"/>
      <c r="F23" s="18"/>
      <c r="G23" s="18"/>
      <c r="H23" s="21"/>
      <c r="I23" s="21"/>
      <c r="J23" s="21"/>
      <c r="K23" s="21"/>
      <c r="L23" s="21"/>
      <c r="M23" s="18"/>
      <c r="N23" s="18"/>
      <c r="O23" s="18"/>
      <c r="P23" s="18"/>
      <c r="Q23" s="18"/>
      <c r="R23" s="18"/>
      <c r="S23" s="7"/>
      <c r="T23" s="7"/>
      <c r="U23" s="8"/>
      <c r="V23" s="29"/>
    </row>
    <row r="24" spans="1:23" ht="30" customHeight="1" x14ac:dyDescent="0.25">
      <c r="A24" s="82">
        <v>1991</v>
      </c>
      <c r="B24" s="82">
        <v>1990</v>
      </c>
      <c r="C24" s="32"/>
      <c r="D24" s="18"/>
      <c r="E24" s="18"/>
      <c r="F24" s="18"/>
      <c r="G24" s="18"/>
      <c r="H24" s="21"/>
      <c r="I24" s="21"/>
      <c r="J24" s="21"/>
      <c r="K24" s="21"/>
      <c r="L24" s="21"/>
      <c r="M24" s="18"/>
      <c r="N24" s="18"/>
      <c r="O24" s="18"/>
      <c r="P24" s="18"/>
      <c r="Q24" s="18"/>
      <c r="R24" s="18"/>
      <c r="S24" s="7"/>
      <c r="T24" s="7"/>
      <c r="U24" s="8"/>
      <c r="V24" s="29"/>
    </row>
    <row r="25" spans="1:23" ht="30" customHeight="1" x14ac:dyDescent="0.25">
      <c r="A25" s="82">
        <v>1990</v>
      </c>
      <c r="B25" s="82">
        <v>1989</v>
      </c>
      <c r="C25" s="32"/>
      <c r="D25" s="18"/>
      <c r="E25" s="18"/>
      <c r="F25" s="18"/>
      <c r="G25" s="18"/>
      <c r="H25" s="21"/>
      <c r="I25" s="21"/>
      <c r="J25" s="21"/>
      <c r="K25" s="21"/>
      <c r="L25" s="21"/>
      <c r="M25" s="18"/>
      <c r="N25" s="18"/>
      <c r="O25" s="18"/>
      <c r="P25" s="18"/>
      <c r="Q25" s="18"/>
      <c r="R25" s="18"/>
      <c r="S25" s="7"/>
      <c r="T25" s="7"/>
      <c r="U25" s="8"/>
      <c r="V25" s="29"/>
    </row>
    <row r="26" spans="1:23" ht="30" customHeight="1" x14ac:dyDescent="0.25">
      <c r="A26" s="82">
        <v>1989</v>
      </c>
      <c r="B26" s="82">
        <v>1988</v>
      </c>
      <c r="C26" s="32"/>
      <c r="D26" s="18"/>
      <c r="E26" s="18"/>
      <c r="F26" s="18"/>
      <c r="G26" s="18"/>
      <c r="H26" s="21"/>
      <c r="I26" s="21"/>
      <c r="J26" s="21"/>
      <c r="K26" s="21"/>
      <c r="L26" s="21"/>
      <c r="M26" s="18"/>
      <c r="N26" s="18"/>
      <c r="O26" s="18"/>
      <c r="P26" s="18"/>
      <c r="Q26" s="18"/>
      <c r="R26" s="18"/>
      <c r="S26" s="7"/>
      <c r="T26" s="7"/>
      <c r="U26" s="8"/>
      <c r="V26" s="29"/>
    </row>
    <row r="27" spans="1:23" ht="30" customHeight="1" x14ac:dyDescent="0.25">
      <c r="A27" s="82">
        <v>1988</v>
      </c>
      <c r="B27" s="82">
        <v>1987</v>
      </c>
      <c r="C27" s="32"/>
      <c r="D27" s="18"/>
      <c r="E27" s="18"/>
      <c r="F27" s="18"/>
      <c r="G27" s="18"/>
      <c r="H27" s="21"/>
      <c r="I27" s="21"/>
      <c r="J27" s="21"/>
      <c r="K27" s="21"/>
      <c r="L27" s="21"/>
      <c r="M27" s="18"/>
      <c r="N27" s="18"/>
      <c r="O27" s="18"/>
      <c r="P27" s="18"/>
      <c r="Q27" s="18"/>
      <c r="R27" s="18"/>
      <c r="S27" s="7"/>
      <c r="T27" s="7"/>
      <c r="U27" s="8"/>
      <c r="V27" s="29"/>
    </row>
    <row r="28" spans="1:23" ht="30" customHeight="1" x14ac:dyDescent="0.25">
      <c r="A28" s="82">
        <v>1987</v>
      </c>
      <c r="B28" s="82">
        <v>1986</v>
      </c>
      <c r="C28" s="32"/>
      <c r="D28" s="18"/>
      <c r="E28" s="18"/>
      <c r="F28" s="18"/>
      <c r="G28" s="18"/>
      <c r="H28" s="21"/>
      <c r="I28" s="21"/>
      <c r="J28" s="21"/>
      <c r="K28" s="21"/>
      <c r="L28" s="21"/>
      <c r="M28" s="18"/>
      <c r="N28" s="18"/>
      <c r="O28" s="18"/>
      <c r="P28" s="18"/>
      <c r="Q28" s="18"/>
      <c r="R28" s="18"/>
      <c r="S28" s="7"/>
      <c r="T28" s="7"/>
      <c r="U28" s="8"/>
      <c r="V28" s="29"/>
    </row>
    <row r="29" spans="1:23" ht="30" customHeight="1" x14ac:dyDescent="0.25">
      <c r="A29" s="82">
        <v>1986</v>
      </c>
      <c r="B29" s="82">
        <v>1985</v>
      </c>
      <c r="C29" s="32"/>
      <c r="D29" s="18"/>
      <c r="E29" s="18"/>
      <c r="F29" s="18"/>
      <c r="G29" s="18"/>
      <c r="H29" s="21"/>
      <c r="I29" s="21"/>
      <c r="J29" s="21"/>
      <c r="K29" s="21"/>
      <c r="L29" s="21"/>
      <c r="M29" s="18"/>
      <c r="N29" s="18"/>
      <c r="O29" s="18"/>
      <c r="P29" s="18"/>
      <c r="Q29" s="18"/>
      <c r="R29" s="18"/>
      <c r="S29" s="7"/>
      <c r="T29" s="7"/>
      <c r="U29" s="8"/>
      <c r="V29" s="29"/>
    </row>
    <row r="30" spans="1:23" ht="30" customHeight="1" x14ac:dyDescent="0.25">
      <c r="A30" s="82">
        <v>1985</v>
      </c>
      <c r="B30" s="82">
        <v>1984</v>
      </c>
      <c r="C30" s="32"/>
      <c r="D30" s="18"/>
      <c r="E30" s="18"/>
      <c r="F30" s="18"/>
      <c r="G30" s="18"/>
      <c r="H30" s="21"/>
      <c r="I30" s="21"/>
      <c r="J30" s="21"/>
      <c r="K30" s="21"/>
      <c r="L30" s="21"/>
      <c r="M30" s="18"/>
      <c r="N30" s="18"/>
      <c r="O30" s="18"/>
      <c r="P30" s="18"/>
      <c r="Q30" s="18"/>
      <c r="R30" s="18"/>
      <c r="S30" s="7"/>
      <c r="T30" s="7"/>
      <c r="U30" s="8"/>
      <c r="V30" s="29"/>
    </row>
    <row r="31" spans="1:23" ht="30" customHeight="1" x14ac:dyDescent="0.25">
      <c r="A31" s="82">
        <v>1984</v>
      </c>
      <c r="B31" s="82">
        <v>1983</v>
      </c>
      <c r="C31" s="32"/>
      <c r="D31" s="18"/>
      <c r="E31" s="18"/>
      <c r="F31" s="18"/>
      <c r="G31" s="18"/>
      <c r="H31" s="21"/>
      <c r="I31" s="21"/>
      <c r="J31" s="21"/>
      <c r="K31" s="21"/>
      <c r="L31" s="21"/>
      <c r="M31" s="18"/>
      <c r="N31" s="18"/>
      <c r="O31" s="18"/>
      <c r="P31" s="18"/>
      <c r="Q31" s="18"/>
      <c r="R31" s="18"/>
      <c r="S31" s="7"/>
      <c r="T31" s="7"/>
      <c r="U31" s="8"/>
      <c r="V31" s="29"/>
    </row>
    <row r="32" spans="1:23" ht="30" customHeight="1" x14ac:dyDescent="0.25">
      <c r="A32" s="82">
        <v>1983</v>
      </c>
      <c r="B32" s="82">
        <v>1982</v>
      </c>
      <c r="C32" s="32"/>
      <c r="D32" s="18"/>
      <c r="E32" s="18"/>
      <c r="F32" s="18"/>
      <c r="G32" s="18"/>
      <c r="H32" s="21"/>
      <c r="I32" s="21"/>
      <c r="J32" s="21"/>
      <c r="K32" s="21"/>
      <c r="L32" s="21"/>
      <c r="M32" s="18"/>
      <c r="N32" s="18"/>
      <c r="O32" s="18"/>
      <c r="P32" s="18"/>
      <c r="Q32" s="18"/>
      <c r="R32" s="18"/>
      <c r="S32" s="7"/>
      <c r="T32" s="7"/>
      <c r="U32" s="8"/>
      <c r="V32" s="29"/>
    </row>
    <row r="33" spans="1:22" ht="30" customHeight="1" x14ac:dyDescent="0.25">
      <c r="A33" s="82">
        <v>1982</v>
      </c>
      <c r="B33" s="82">
        <v>1981</v>
      </c>
      <c r="C33" s="32"/>
      <c r="D33" s="18"/>
      <c r="E33" s="18"/>
      <c r="F33" s="18"/>
      <c r="G33" s="18"/>
      <c r="H33" s="21"/>
      <c r="I33" s="21"/>
      <c r="J33" s="21"/>
      <c r="K33" s="21"/>
      <c r="L33" s="21"/>
      <c r="M33" s="18"/>
      <c r="N33" s="18"/>
      <c r="O33" s="18"/>
      <c r="P33" s="18"/>
      <c r="Q33" s="18"/>
      <c r="R33" s="18"/>
      <c r="S33" s="7"/>
      <c r="T33" s="7"/>
      <c r="U33" s="8"/>
      <c r="V33" s="29"/>
    </row>
    <row r="34" spans="1:22" ht="30" customHeight="1" x14ac:dyDescent="0.25">
      <c r="C34" s="32"/>
      <c r="D34" s="18"/>
      <c r="E34" s="18"/>
      <c r="F34" s="18"/>
      <c r="G34" s="18"/>
      <c r="H34" s="21"/>
      <c r="I34" s="21"/>
      <c r="J34" s="21"/>
      <c r="K34" s="21"/>
      <c r="L34" s="21"/>
      <c r="M34" s="18"/>
      <c r="N34" s="18"/>
      <c r="O34" s="18"/>
      <c r="P34" s="18"/>
      <c r="Q34" s="18"/>
      <c r="R34" s="18"/>
      <c r="S34" s="7"/>
      <c r="T34" s="7"/>
      <c r="U34" s="8"/>
      <c r="V34" s="29"/>
    </row>
    <row r="35" spans="1:22" ht="30" customHeight="1" x14ac:dyDescent="0.25">
      <c r="C35" s="32"/>
      <c r="D35" s="18"/>
      <c r="E35" s="18"/>
      <c r="F35" s="18"/>
      <c r="G35" s="18"/>
      <c r="H35" s="21"/>
      <c r="I35" s="21"/>
      <c r="J35" s="21"/>
      <c r="K35" s="21"/>
      <c r="L35" s="21"/>
      <c r="M35" s="18"/>
      <c r="N35" s="18"/>
      <c r="O35" s="18"/>
      <c r="P35" s="18"/>
      <c r="Q35" s="18"/>
      <c r="R35" s="18"/>
      <c r="S35" s="7"/>
      <c r="T35" s="7"/>
      <c r="U35" s="8"/>
      <c r="V35" s="29"/>
    </row>
    <row r="36" spans="1:22" ht="30" customHeight="1" x14ac:dyDescent="0.25">
      <c r="C36" s="32"/>
      <c r="D36" s="18"/>
      <c r="E36" s="18"/>
      <c r="F36" s="18"/>
      <c r="G36" s="18"/>
      <c r="H36" s="21"/>
      <c r="I36" s="21"/>
      <c r="J36" s="21"/>
      <c r="K36" s="21"/>
      <c r="L36" s="21"/>
      <c r="M36" s="18"/>
      <c r="N36" s="18"/>
      <c r="O36" s="18"/>
      <c r="P36" s="18"/>
      <c r="Q36" s="18"/>
      <c r="R36" s="18"/>
      <c r="S36" s="7"/>
      <c r="T36" s="7"/>
      <c r="U36" s="8"/>
      <c r="V36" s="29"/>
    </row>
    <row r="37" spans="1:22" ht="30" customHeight="1" x14ac:dyDescent="0.25">
      <c r="C37" s="32"/>
      <c r="D37" s="18"/>
      <c r="E37" s="18"/>
      <c r="F37" s="18"/>
      <c r="G37" s="18"/>
      <c r="H37" s="21"/>
      <c r="I37" s="21"/>
      <c r="J37" s="21"/>
      <c r="K37" s="21"/>
      <c r="L37" s="21"/>
      <c r="M37" s="18"/>
      <c r="N37" s="18"/>
      <c r="O37" s="18"/>
      <c r="P37" s="18"/>
      <c r="Q37" s="18"/>
      <c r="R37" s="18"/>
      <c r="S37" s="7"/>
      <c r="T37" s="7"/>
      <c r="U37" s="8"/>
      <c r="V37" s="29"/>
    </row>
    <row r="38" spans="1:22" ht="30" customHeight="1" x14ac:dyDescent="0.25">
      <c r="C38" s="32"/>
      <c r="D38" s="18"/>
      <c r="E38" s="18"/>
      <c r="F38" s="18"/>
      <c r="G38" s="18"/>
      <c r="H38" s="21"/>
      <c r="I38" s="21"/>
      <c r="J38" s="21"/>
      <c r="K38" s="21"/>
      <c r="L38" s="21"/>
      <c r="M38" s="18"/>
      <c r="N38" s="18"/>
      <c r="O38" s="18"/>
      <c r="P38" s="18"/>
      <c r="Q38" s="18"/>
      <c r="R38" s="18"/>
      <c r="S38" s="7"/>
      <c r="T38" s="7"/>
      <c r="U38" s="8"/>
      <c r="V38" s="29"/>
    </row>
    <row r="39" spans="1:22" ht="30" customHeight="1" x14ac:dyDescent="0.25">
      <c r="C39" s="32"/>
      <c r="D39" s="18"/>
      <c r="E39" s="18"/>
      <c r="F39" s="18"/>
      <c r="G39" s="18"/>
      <c r="H39" s="21"/>
      <c r="I39" s="21"/>
      <c r="J39" s="21"/>
      <c r="K39" s="21"/>
      <c r="L39" s="21"/>
      <c r="M39" s="18"/>
      <c r="N39" s="18"/>
      <c r="O39" s="18"/>
      <c r="P39" s="18"/>
      <c r="Q39" s="18"/>
      <c r="R39" s="18"/>
      <c r="S39" s="7"/>
      <c r="T39" s="7"/>
      <c r="U39" s="8"/>
      <c r="V39" s="29"/>
    </row>
    <row r="40" spans="1:22" ht="30" customHeight="1" x14ac:dyDescent="0.25">
      <c r="C40" s="32"/>
      <c r="D40" s="18"/>
      <c r="E40" s="18"/>
      <c r="F40" s="18"/>
      <c r="G40" s="18"/>
      <c r="H40" s="21"/>
      <c r="I40" s="21"/>
      <c r="J40" s="21"/>
      <c r="K40" s="21"/>
      <c r="L40" s="21"/>
      <c r="M40" s="18"/>
      <c r="N40" s="18"/>
      <c r="O40" s="18"/>
      <c r="P40" s="18"/>
      <c r="Q40" s="18"/>
      <c r="R40" s="18"/>
      <c r="S40" s="7"/>
      <c r="T40" s="7"/>
      <c r="U40" s="8"/>
      <c r="V40" s="29"/>
    </row>
    <row r="41" spans="1:22" ht="30" customHeight="1" x14ac:dyDescent="0.25">
      <c r="C41" s="32"/>
      <c r="D41" s="18"/>
      <c r="E41" s="18"/>
      <c r="F41" s="18"/>
      <c r="G41" s="18"/>
      <c r="H41" s="21"/>
      <c r="I41" s="21"/>
      <c r="J41" s="21"/>
      <c r="K41" s="21"/>
      <c r="L41" s="21"/>
      <c r="M41" s="18"/>
      <c r="N41" s="18"/>
      <c r="O41" s="18"/>
      <c r="P41" s="18"/>
      <c r="Q41" s="18"/>
      <c r="R41" s="18"/>
      <c r="S41" s="7"/>
      <c r="T41" s="7"/>
      <c r="U41" s="8"/>
      <c r="V41" s="29"/>
    </row>
    <row r="42" spans="1:22" ht="30" customHeight="1" x14ac:dyDescent="0.25">
      <c r="C42" s="32"/>
      <c r="D42" s="18"/>
      <c r="E42" s="18"/>
      <c r="F42" s="18"/>
      <c r="G42" s="18"/>
      <c r="H42" s="21"/>
      <c r="I42" s="21"/>
      <c r="J42" s="21"/>
      <c r="K42" s="21"/>
      <c r="L42" s="21"/>
      <c r="M42" s="18"/>
      <c r="N42" s="18"/>
      <c r="O42" s="18"/>
      <c r="P42" s="18"/>
      <c r="Q42" s="18"/>
      <c r="R42" s="18"/>
      <c r="S42" s="7"/>
      <c r="T42" s="7"/>
      <c r="U42" s="8"/>
      <c r="V42" s="29"/>
    </row>
    <row r="43" spans="1:22" ht="30" customHeight="1" x14ac:dyDescent="0.25">
      <c r="C43" s="32"/>
      <c r="D43" s="18"/>
      <c r="E43" s="18"/>
      <c r="F43" s="18"/>
      <c r="G43" s="18"/>
      <c r="H43" s="21"/>
      <c r="I43" s="21"/>
      <c r="J43" s="21"/>
      <c r="K43" s="21"/>
      <c r="L43" s="21"/>
      <c r="M43" s="18"/>
      <c r="N43" s="18"/>
      <c r="O43" s="18"/>
      <c r="P43" s="18"/>
      <c r="Q43" s="18"/>
      <c r="R43" s="18"/>
      <c r="S43" s="7"/>
      <c r="T43" s="7"/>
      <c r="U43" s="8"/>
      <c r="V43" s="29"/>
    </row>
    <row r="44" spans="1:22" ht="30" customHeight="1" x14ac:dyDescent="0.25">
      <c r="C44" s="32"/>
      <c r="D44" s="18"/>
      <c r="E44" s="18"/>
      <c r="F44" s="18"/>
      <c r="G44" s="18"/>
      <c r="H44" s="21"/>
      <c r="I44" s="21"/>
      <c r="J44" s="21"/>
      <c r="K44" s="21"/>
      <c r="L44" s="21"/>
      <c r="M44" s="18"/>
      <c r="N44" s="18"/>
      <c r="O44" s="18"/>
      <c r="P44" s="18"/>
      <c r="Q44" s="18"/>
      <c r="R44" s="18"/>
      <c r="S44" s="7"/>
      <c r="T44" s="7"/>
      <c r="U44" s="8"/>
      <c r="V44" s="29"/>
    </row>
    <row r="45" spans="1:22" ht="30" customHeight="1" x14ac:dyDescent="0.25">
      <c r="C45" s="32"/>
      <c r="D45" s="18"/>
      <c r="E45" s="18"/>
      <c r="F45" s="18"/>
      <c r="G45" s="18"/>
      <c r="H45" s="21"/>
      <c r="I45" s="21"/>
      <c r="J45" s="21"/>
      <c r="K45" s="21"/>
      <c r="L45" s="21"/>
      <c r="M45" s="18"/>
      <c r="N45" s="18"/>
      <c r="O45" s="18"/>
      <c r="P45" s="18"/>
      <c r="Q45" s="18"/>
      <c r="R45" s="18"/>
      <c r="S45" s="7"/>
      <c r="T45" s="7"/>
      <c r="U45" s="8"/>
      <c r="V45" s="29"/>
    </row>
    <row r="46" spans="1:22" ht="30" customHeight="1" x14ac:dyDescent="0.25">
      <c r="C46" s="32"/>
      <c r="D46" s="18"/>
      <c r="E46" s="18"/>
      <c r="F46" s="18"/>
      <c r="G46" s="18"/>
      <c r="H46" s="21"/>
      <c r="I46" s="21"/>
      <c r="J46" s="21"/>
      <c r="K46" s="21"/>
      <c r="L46" s="21"/>
      <c r="M46" s="18"/>
      <c r="N46" s="18"/>
      <c r="O46" s="18"/>
      <c r="P46" s="18"/>
      <c r="Q46" s="18"/>
      <c r="R46" s="18"/>
      <c r="S46" s="7"/>
      <c r="T46" s="7"/>
      <c r="U46" s="8"/>
      <c r="V46" s="29"/>
    </row>
    <row r="47" spans="1:22" ht="30" customHeight="1" x14ac:dyDescent="0.25">
      <c r="C47" s="32"/>
      <c r="D47" s="18"/>
      <c r="E47" s="18"/>
      <c r="F47" s="18"/>
      <c r="G47" s="18"/>
      <c r="H47" s="21"/>
      <c r="I47" s="21"/>
      <c r="J47" s="21"/>
      <c r="K47" s="21"/>
      <c r="L47" s="21"/>
      <c r="M47" s="18"/>
      <c r="N47" s="18"/>
      <c r="O47" s="18"/>
      <c r="P47" s="18"/>
      <c r="Q47" s="18"/>
      <c r="R47" s="18"/>
      <c r="S47" s="7"/>
      <c r="T47" s="7"/>
      <c r="U47" s="8"/>
      <c r="V47" s="29"/>
    </row>
    <row r="48" spans="1:22" ht="30" customHeight="1" x14ac:dyDescent="0.25">
      <c r="C48" s="32"/>
      <c r="D48" s="18"/>
      <c r="E48" s="18"/>
      <c r="F48" s="18"/>
      <c r="G48" s="18"/>
      <c r="H48" s="21"/>
      <c r="I48" s="21"/>
      <c r="J48" s="21"/>
      <c r="K48" s="21"/>
      <c r="L48" s="21"/>
      <c r="M48" s="18"/>
      <c r="N48" s="18"/>
      <c r="O48" s="18"/>
      <c r="P48" s="18"/>
      <c r="Q48" s="18"/>
      <c r="R48" s="18"/>
      <c r="S48" s="7"/>
      <c r="T48" s="7"/>
      <c r="U48" s="8"/>
      <c r="V48" s="29"/>
    </row>
    <row r="49" spans="3:22" ht="30" customHeight="1" x14ac:dyDescent="0.25">
      <c r="C49" s="32"/>
      <c r="D49" s="18"/>
      <c r="E49" s="18"/>
      <c r="F49" s="18"/>
      <c r="G49" s="18"/>
      <c r="H49" s="21"/>
      <c r="I49" s="21"/>
      <c r="J49" s="21"/>
      <c r="K49" s="21"/>
      <c r="L49" s="21"/>
      <c r="M49" s="18"/>
      <c r="N49" s="18"/>
      <c r="O49" s="18"/>
      <c r="P49" s="18"/>
      <c r="Q49" s="18"/>
      <c r="R49" s="18"/>
      <c r="S49" s="7"/>
      <c r="T49" s="7"/>
      <c r="U49" s="8"/>
      <c r="V49" s="29"/>
    </row>
    <row r="50" spans="3:22" ht="30" customHeight="1" x14ac:dyDescent="0.25">
      <c r="C50" s="32"/>
      <c r="D50" s="18"/>
      <c r="E50" s="18"/>
      <c r="F50" s="18"/>
      <c r="G50" s="18"/>
      <c r="H50" s="21"/>
      <c r="I50" s="21"/>
      <c r="J50" s="21"/>
      <c r="K50" s="21"/>
      <c r="L50" s="21"/>
      <c r="M50" s="18"/>
      <c r="N50" s="18"/>
      <c r="O50" s="18"/>
      <c r="P50" s="18"/>
      <c r="Q50" s="18"/>
      <c r="R50" s="18"/>
      <c r="S50" s="7"/>
      <c r="T50" s="7"/>
      <c r="U50" s="8"/>
      <c r="V50" s="29"/>
    </row>
    <row r="51" spans="3:22" ht="30" customHeight="1" x14ac:dyDescent="0.25">
      <c r="C51" s="32"/>
      <c r="D51" s="18"/>
      <c r="E51" s="18"/>
      <c r="F51" s="18"/>
      <c r="G51" s="18"/>
      <c r="H51" s="21"/>
      <c r="I51" s="21"/>
      <c r="J51" s="21"/>
      <c r="K51" s="21"/>
      <c r="L51" s="21"/>
      <c r="M51" s="18"/>
      <c r="N51" s="18"/>
      <c r="O51" s="18"/>
      <c r="P51" s="18"/>
      <c r="Q51" s="18"/>
      <c r="R51" s="18"/>
      <c r="S51" s="7"/>
      <c r="T51" s="7"/>
      <c r="U51" s="8"/>
      <c r="V51" s="29"/>
    </row>
    <row r="52" spans="3:22" ht="30" customHeight="1" x14ac:dyDescent="0.25">
      <c r="C52" s="32"/>
      <c r="D52" s="18"/>
      <c r="E52" s="18"/>
      <c r="F52" s="18"/>
      <c r="G52" s="18"/>
      <c r="H52" s="21"/>
      <c r="I52" s="21"/>
      <c r="J52" s="21"/>
      <c r="K52" s="21"/>
      <c r="L52" s="21"/>
      <c r="M52" s="18"/>
      <c r="N52" s="18"/>
      <c r="O52" s="18"/>
      <c r="P52" s="18"/>
      <c r="Q52" s="18"/>
      <c r="R52" s="18"/>
      <c r="S52" s="7"/>
      <c r="T52" s="7"/>
      <c r="U52" s="8"/>
      <c r="V52" s="29"/>
    </row>
    <row r="53" spans="3:22" ht="30" customHeight="1" x14ac:dyDescent="0.25">
      <c r="C53" s="32"/>
      <c r="D53" s="18"/>
      <c r="E53" s="18"/>
      <c r="F53" s="18"/>
      <c r="G53" s="18"/>
      <c r="H53" s="21"/>
      <c r="I53" s="21"/>
      <c r="J53" s="21"/>
      <c r="K53" s="21"/>
      <c r="L53" s="21"/>
      <c r="M53" s="18"/>
      <c r="N53" s="18"/>
      <c r="O53" s="18"/>
      <c r="P53" s="18"/>
      <c r="Q53" s="18"/>
      <c r="R53" s="18"/>
      <c r="S53" s="7"/>
      <c r="T53" s="7"/>
      <c r="U53" s="8"/>
      <c r="V53" s="29"/>
    </row>
    <row r="54" spans="3:22" ht="30" customHeight="1" x14ac:dyDescent="0.25">
      <c r="C54" s="32"/>
      <c r="D54" s="18"/>
      <c r="E54" s="18"/>
      <c r="F54" s="18"/>
      <c r="G54" s="18"/>
      <c r="H54" s="21"/>
      <c r="I54" s="21"/>
      <c r="J54" s="21"/>
      <c r="K54" s="21"/>
      <c r="L54" s="21"/>
      <c r="M54" s="18"/>
      <c r="N54" s="18"/>
      <c r="O54" s="18"/>
      <c r="P54" s="18"/>
      <c r="Q54" s="18"/>
      <c r="R54" s="18"/>
      <c r="S54" s="7"/>
      <c r="T54" s="7"/>
      <c r="U54" s="8"/>
      <c r="V54" s="30"/>
    </row>
    <row r="55" spans="3:22" ht="30" customHeight="1" x14ac:dyDescent="0.25">
      <c r="C55" s="32"/>
      <c r="D55" s="18"/>
      <c r="E55" s="18"/>
      <c r="F55" s="18"/>
      <c r="G55" s="18"/>
      <c r="H55" s="21"/>
      <c r="I55" s="21"/>
      <c r="J55" s="21"/>
      <c r="K55" s="21"/>
      <c r="L55" s="21"/>
      <c r="M55" s="18"/>
      <c r="N55" s="18"/>
      <c r="O55" s="18"/>
      <c r="P55" s="18"/>
      <c r="Q55" s="18"/>
      <c r="R55" s="18"/>
      <c r="S55" s="10"/>
      <c r="T55" s="10"/>
      <c r="U55" s="11"/>
      <c r="V55" s="30"/>
    </row>
    <row r="56" spans="3:22" ht="30" customHeight="1" x14ac:dyDescent="0.25">
      <c r="C56" s="32"/>
      <c r="D56" s="18"/>
      <c r="E56" s="18"/>
      <c r="F56" s="18"/>
      <c r="G56" s="18"/>
      <c r="H56" s="21"/>
      <c r="I56" s="21"/>
      <c r="J56" s="21"/>
      <c r="K56" s="21"/>
      <c r="L56" s="21"/>
      <c r="M56" s="18"/>
      <c r="N56" s="18"/>
      <c r="O56" s="18"/>
      <c r="P56" s="18"/>
      <c r="Q56" s="18"/>
      <c r="R56" s="18"/>
      <c r="S56" s="10"/>
      <c r="T56" s="10"/>
      <c r="U56" s="10"/>
      <c r="V56" s="30"/>
    </row>
    <row r="57" spans="3:22" ht="30" customHeight="1" x14ac:dyDescent="0.25">
      <c r="C57" s="32"/>
      <c r="D57" s="18"/>
      <c r="E57" s="18"/>
      <c r="F57" s="18"/>
      <c r="G57" s="18"/>
      <c r="H57" s="21"/>
      <c r="I57" s="21"/>
      <c r="J57" s="21"/>
      <c r="K57" s="21"/>
      <c r="L57" s="21"/>
      <c r="M57" s="18"/>
      <c r="N57" s="18"/>
      <c r="O57" s="18"/>
      <c r="P57" s="18"/>
      <c r="Q57" s="18"/>
      <c r="R57" s="18"/>
      <c r="S57" s="10"/>
      <c r="T57" s="10"/>
      <c r="U57" s="10"/>
      <c r="V57" s="30"/>
    </row>
    <row r="58" spans="3:22" ht="30" customHeight="1" x14ac:dyDescent="0.25">
      <c r="C58" s="32"/>
      <c r="D58" s="18"/>
      <c r="E58" s="18"/>
      <c r="F58" s="18"/>
      <c r="G58" s="18"/>
      <c r="H58" s="21"/>
      <c r="I58" s="21"/>
      <c r="J58" s="21"/>
      <c r="K58" s="21"/>
      <c r="L58" s="21"/>
      <c r="M58" s="18"/>
      <c r="N58" s="18"/>
      <c r="O58" s="18"/>
      <c r="P58" s="18"/>
      <c r="Q58" s="18"/>
      <c r="R58" s="18"/>
      <c r="S58" s="10"/>
      <c r="T58" s="10"/>
      <c r="U58" s="10"/>
      <c r="V58" s="30"/>
    </row>
    <row r="59" spans="3:22" ht="30" customHeight="1" x14ac:dyDescent="0.25">
      <c r="C59" s="32"/>
      <c r="D59" s="18"/>
      <c r="E59" s="18"/>
      <c r="F59" s="18"/>
      <c r="G59" s="18"/>
      <c r="H59" s="21"/>
      <c r="I59" s="21"/>
      <c r="J59" s="21"/>
      <c r="K59" s="21"/>
      <c r="L59" s="21"/>
      <c r="M59" s="18"/>
      <c r="N59" s="18"/>
      <c r="O59" s="18"/>
      <c r="P59" s="18"/>
      <c r="Q59" s="18"/>
      <c r="R59" s="18"/>
      <c r="S59" s="10"/>
      <c r="T59" s="10"/>
      <c r="U59" s="10"/>
      <c r="V59" s="30"/>
    </row>
    <row r="60" spans="3:22" ht="30" customHeight="1" x14ac:dyDescent="0.25">
      <c r="C60" s="32"/>
      <c r="D60" s="18"/>
      <c r="E60" s="18"/>
      <c r="F60" s="18"/>
      <c r="G60" s="18"/>
      <c r="H60" s="21"/>
      <c r="I60" s="21"/>
      <c r="J60" s="21"/>
      <c r="K60" s="21"/>
      <c r="L60" s="21"/>
      <c r="M60" s="18"/>
      <c r="N60" s="18"/>
      <c r="O60" s="18"/>
      <c r="P60" s="18"/>
      <c r="Q60" s="18"/>
      <c r="R60" s="18"/>
      <c r="S60" s="10"/>
      <c r="T60" s="10"/>
      <c r="U60" s="10"/>
      <c r="V60" s="30"/>
    </row>
    <row r="61" spans="3:22" ht="30" customHeight="1" x14ac:dyDescent="0.25">
      <c r="C61" s="32"/>
      <c r="D61" s="18"/>
      <c r="E61" s="18"/>
      <c r="F61" s="18"/>
      <c r="G61" s="18"/>
      <c r="H61" s="21"/>
      <c r="I61" s="21"/>
      <c r="J61" s="21"/>
      <c r="K61" s="21"/>
      <c r="L61" s="21"/>
      <c r="M61" s="18"/>
      <c r="N61" s="18"/>
      <c r="O61" s="18"/>
      <c r="P61" s="18"/>
      <c r="Q61" s="18"/>
      <c r="R61" s="18"/>
      <c r="S61" s="10"/>
      <c r="T61" s="10"/>
      <c r="U61" s="10"/>
      <c r="V61" s="30"/>
    </row>
    <row r="62" spans="3:22" ht="30" customHeight="1" x14ac:dyDescent="0.25">
      <c r="C62" s="32"/>
      <c r="D62" s="18"/>
      <c r="E62" s="18"/>
      <c r="F62" s="18"/>
      <c r="G62" s="18"/>
      <c r="H62" s="21"/>
      <c r="I62" s="21"/>
      <c r="J62" s="21"/>
      <c r="K62" s="21"/>
      <c r="L62" s="21"/>
      <c r="M62" s="18"/>
      <c r="N62" s="18"/>
      <c r="O62" s="18"/>
      <c r="P62" s="18"/>
      <c r="Q62" s="18"/>
      <c r="R62" s="18"/>
      <c r="S62" s="10"/>
      <c r="T62" s="10"/>
      <c r="U62" s="10"/>
      <c r="V62" s="30"/>
    </row>
    <row r="63" spans="3:22" ht="30" customHeight="1" x14ac:dyDescent="0.25">
      <c r="C63" s="32"/>
      <c r="D63" s="18"/>
      <c r="E63" s="18"/>
      <c r="F63" s="18"/>
      <c r="G63" s="18"/>
      <c r="H63" s="21"/>
      <c r="I63" s="21"/>
      <c r="J63" s="21"/>
      <c r="K63" s="21"/>
      <c r="L63" s="21"/>
      <c r="M63" s="18"/>
      <c r="N63" s="18"/>
      <c r="O63" s="18"/>
      <c r="P63" s="18"/>
      <c r="Q63" s="18"/>
      <c r="R63" s="18"/>
      <c r="S63" s="10"/>
      <c r="T63" s="10"/>
      <c r="U63" s="10"/>
      <c r="V63" s="30"/>
    </row>
    <row r="64" spans="3:22" ht="30" customHeight="1" x14ac:dyDescent="0.25">
      <c r="C64" s="32"/>
      <c r="D64" s="18"/>
      <c r="E64" s="18"/>
      <c r="F64" s="18"/>
      <c r="G64" s="18"/>
      <c r="H64" s="21"/>
      <c r="I64" s="21"/>
      <c r="J64" s="21"/>
      <c r="K64" s="21"/>
      <c r="L64" s="21"/>
      <c r="M64" s="18"/>
      <c r="N64" s="18"/>
      <c r="O64" s="18"/>
      <c r="P64" s="18"/>
      <c r="Q64" s="18"/>
      <c r="R64" s="18"/>
      <c r="S64" s="10"/>
      <c r="T64" s="10"/>
      <c r="U64" s="10"/>
      <c r="V64" s="30"/>
    </row>
    <row r="65" spans="3:22" ht="30" customHeight="1" x14ac:dyDescent="0.25">
      <c r="C65" s="32"/>
      <c r="D65" s="18"/>
      <c r="E65" s="18"/>
      <c r="F65" s="18"/>
      <c r="G65" s="18"/>
      <c r="H65" s="21"/>
      <c r="I65" s="21"/>
      <c r="J65" s="21"/>
      <c r="K65" s="21"/>
      <c r="L65" s="21"/>
      <c r="M65" s="18"/>
      <c r="N65" s="18"/>
      <c r="O65" s="18"/>
      <c r="P65" s="18"/>
      <c r="Q65" s="18"/>
      <c r="R65" s="18"/>
      <c r="S65" s="10"/>
      <c r="T65" s="10"/>
      <c r="U65" s="10"/>
      <c r="V65" s="30"/>
    </row>
    <row r="66" spans="3:22" ht="30" customHeight="1" x14ac:dyDescent="0.25">
      <c r="C66" s="32"/>
      <c r="D66" s="18"/>
      <c r="E66" s="18"/>
      <c r="F66" s="18"/>
      <c r="G66" s="18"/>
      <c r="H66" s="21"/>
      <c r="I66" s="21"/>
      <c r="J66" s="21"/>
      <c r="K66" s="21"/>
      <c r="L66" s="21"/>
      <c r="M66" s="18"/>
      <c r="N66" s="18"/>
      <c r="O66" s="18"/>
      <c r="P66" s="18"/>
      <c r="Q66" s="18"/>
      <c r="R66" s="18"/>
      <c r="S66" s="10"/>
      <c r="T66" s="10"/>
      <c r="U66" s="10"/>
      <c r="V66" s="30"/>
    </row>
    <row r="67" spans="3:22" ht="30" customHeight="1" x14ac:dyDescent="0.25">
      <c r="C67" s="32"/>
      <c r="D67" s="18"/>
      <c r="E67" s="18"/>
      <c r="F67" s="18"/>
      <c r="G67" s="18"/>
      <c r="H67" s="21"/>
      <c r="I67" s="21"/>
      <c r="J67" s="21"/>
      <c r="K67" s="21"/>
      <c r="L67" s="21"/>
      <c r="M67" s="18"/>
      <c r="N67" s="18"/>
      <c r="O67" s="18"/>
      <c r="P67" s="18"/>
      <c r="Q67" s="18"/>
      <c r="R67" s="18"/>
      <c r="S67" s="10"/>
      <c r="T67" s="10"/>
      <c r="U67" s="10"/>
      <c r="V67" s="30"/>
    </row>
    <row r="68" spans="3:22" ht="30" customHeight="1" x14ac:dyDescent="0.25">
      <c r="C68" s="32"/>
      <c r="D68" s="18"/>
      <c r="E68" s="18"/>
      <c r="F68" s="18"/>
      <c r="G68" s="18"/>
      <c r="H68" s="21"/>
      <c r="I68" s="21"/>
      <c r="J68" s="21"/>
      <c r="K68" s="21"/>
      <c r="L68" s="21"/>
      <c r="M68" s="18"/>
      <c r="N68" s="18"/>
      <c r="O68" s="18"/>
      <c r="P68" s="18"/>
      <c r="Q68" s="18"/>
      <c r="R68" s="18"/>
      <c r="S68" s="10"/>
      <c r="T68" s="10"/>
      <c r="U68" s="10"/>
      <c r="V68" s="29"/>
    </row>
    <row r="69" spans="3:22" ht="30" customHeight="1" x14ac:dyDescent="0.25">
      <c r="C69" s="32"/>
      <c r="D69" s="18"/>
      <c r="E69" s="18"/>
      <c r="F69" s="18"/>
      <c r="G69" s="18"/>
      <c r="H69" s="21"/>
      <c r="I69" s="21"/>
      <c r="J69" s="21"/>
      <c r="K69" s="21"/>
      <c r="L69" s="21"/>
      <c r="M69" s="18"/>
      <c r="N69" s="18"/>
      <c r="O69" s="18"/>
      <c r="P69" s="18"/>
      <c r="Q69" s="18"/>
      <c r="R69" s="18"/>
      <c r="S69" s="10"/>
      <c r="T69" s="10"/>
      <c r="U69" s="10"/>
      <c r="V69" s="30"/>
    </row>
    <row r="70" spans="3:22" ht="30" customHeight="1" x14ac:dyDescent="0.25">
      <c r="C70" s="32"/>
      <c r="D70" s="18"/>
      <c r="E70" s="18"/>
      <c r="F70" s="18"/>
      <c r="G70" s="18"/>
      <c r="H70" s="21"/>
      <c r="I70" s="21"/>
      <c r="J70" s="21"/>
      <c r="K70" s="21"/>
      <c r="L70" s="21"/>
      <c r="M70" s="18"/>
      <c r="N70" s="18"/>
      <c r="O70" s="18"/>
      <c r="P70" s="18"/>
      <c r="Q70" s="18"/>
      <c r="R70" s="18"/>
      <c r="S70" s="10"/>
      <c r="T70" s="10"/>
      <c r="U70" s="10"/>
      <c r="V70" s="30"/>
    </row>
    <row r="71" spans="3:22" ht="30" customHeight="1" x14ac:dyDescent="0.25">
      <c r="C71" s="32"/>
      <c r="D71" s="18"/>
      <c r="E71" s="18"/>
      <c r="F71" s="18"/>
      <c r="G71" s="18"/>
      <c r="H71" s="21"/>
      <c r="I71" s="21"/>
      <c r="J71" s="21"/>
      <c r="K71" s="21"/>
      <c r="L71" s="21"/>
      <c r="M71" s="18"/>
      <c r="N71" s="18"/>
      <c r="O71" s="18"/>
      <c r="P71" s="18"/>
      <c r="Q71" s="18"/>
      <c r="R71" s="18"/>
      <c r="S71" s="10"/>
      <c r="T71" s="10"/>
      <c r="U71" s="10"/>
      <c r="V71" s="30"/>
    </row>
    <row r="72" spans="3:22" ht="30" customHeight="1" x14ac:dyDescent="0.25">
      <c r="C72" s="32"/>
      <c r="D72" s="18"/>
      <c r="E72" s="18"/>
      <c r="F72" s="18"/>
      <c r="G72" s="18"/>
      <c r="H72" s="21"/>
      <c r="I72" s="21"/>
      <c r="J72" s="21"/>
      <c r="K72" s="21"/>
      <c r="L72" s="21"/>
      <c r="M72" s="18"/>
      <c r="N72" s="18"/>
      <c r="O72" s="18"/>
      <c r="P72" s="18"/>
      <c r="Q72" s="18"/>
      <c r="R72" s="18"/>
      <c r="S72" s="10"/>
      <c r="T72" s="10"/>
      <c r="U72" s="10"/>
      <c r="V72" s="30"/>
    </row>
    <row r="73" spans="3:22" ht="30" customHeight="1" x14ac:dyDescent="0.25">
      <c r="C73" s="32"/>
      <c r="D73" s="20"/>
      <c r="E73" s="20"/>
      <c r="F73" s="20"/>
      <c r="G73" s="20"/>
      <c r="H73" s="22"/>
      <c r="I73" s="22"/>
      <c r="J73" s="22"/>
      <c r="K73" s="22"/>
      <c r="L73" s="22"/>
      <c r="M73" s="20"/>
      <c r="N73" s="20"/>
      <c r="O73" s="20"/>
      <c r="P73" s="20"/>
      <c r="Q73" s="20"/>
      <c r="R73" s="20"/>
      <c r="S73" s="10"/>
      <c r="T73" s="10"/>
      <c r="U73" s="10"/>
      <c r="V73" s="30"/>
    </row>
    <row r="74" spans="3:22" ht="30" customHeight="1" x14ac:dyDescent="0.25">
      <c r="C74" s="32"/>
      <c r="D74" s="20"/>
      <c r="E74" s="20"/>
      <c r="F74" s="20"/>
      <c r="G74" s="20"/>
      <c r="H74" s="22"/>
      <c r="I74" s="22"/>
      <c r="J74" s="22"/>
      <c r="K74" s="22"/>
      <c r="L74" s="22"/>
      <c r="M74" s="20"/>
      <c r="N74" s="20"/>
      <c r="O74" s="20"/>
      <c r="P74" s="20"/>
      <c r="Q74" s="20"/>
      <c r="R74" s="20"/>
      <c r="S74" s="10"/>
      <c r="T74" s="10"/>
      <c r="U74" s="10"/>
      <c r="V74" s="30"/>
    </row>
    <row r="75" spans="3:22" ht="30" customHeight="1" x14ac:dyDescent="0.25">
      <c r="C75" s="32"/>
      <c r="D75" s="20"/>
      <c r="E75" s="20"/>
      <c r="F75" s="20"/>
      <c r="G75" s="20"/>
      <c r="H75" s="22"/>
      <c r="I75" s="22"/>
      <c r="J75" s="22"/>
      <c r="K75" s="22"/>
      <c r="L75" s="22"/>
      <c r="M75" s="20"/>
      <c r="N75" s="20"/>
      <c r="O75" s="20"/>
      <c r="P75" s="20"/>
      <c r="Q75" s="20"/>
      <c r="R75" s="20"/>
      <c r="S75" s="10"/>
      <c r="T75" s="10"/>
      <c r="U75" s="10"/>
      <c r="V75" s="30"/>
    </row>
    <row r="76" spans="3:22" ht="30" customHeight="1" x14ac:dyDescent="0.25">
      <c r="C76" s="32"/>
      <c r="D76" s="20"/>
      <c r="E76" s="20"/>
      <c r="F76" s="20"/>
      <c r="G76" s="20"/>
      <c r="H76" s="22"/>
      <c r="I76" s="22"/>
      <c r="J76" s="22"/>
      <c r="K76" s="22"/>
      <c r="L76" s="22"/>
      <c r="M76" s="20"/>
      <c r="N76" s="20"/>
      <c r="O76" s="20"/>
      <c r="P76" s="20"/>
      <c r="Q76" s="20"/>
      <c r="R76" s="20"/>
      <c r="S76" s="10"/>
      <c r="T76" s="10"/>
      <c r="U76" s="10"/>
      <c r="V76" s="30"/>
    </row>
    <row r="77" spans="3:22" ht="30" customHeight="1" x14ac:dyDescent="0.25">
      <c r="C77" s="32"/>
      <c r="D77" s="20"/>
      <c r="E77" s="20"/>
      <c r="F77" s="20"/>
      <c r="G77" s="20"/>
      <c r="H77" s="22"/>
      <c r="I77" s="22"/>
      <c r="J77" s="22"/>
      <c r="K77" s="22"/>
      <c r="L77" s="22"/>
      <c r="M77" s="20"/>
      <c r="N77" s="20"/>
      <c r="O77" s="20"/>
      <c r="P77" s="20"/>
      <c r="Q77" s="20"/>
      <c r="R77" s="20"/>
      <c r="S77" s="10"/>
      <c r="T77" s="10"/>
      <c r="U77" s="10"/>
      <c r="V77" s="30"/>
    </row>
    <row r="78" spans="3:22" ht="30" customHeight="1" x14ac:dyDescent="0.25">
      <c r="C78" s="32"/>
      <c r="D78" s="20"/>
      <c r="E78" s="20"/>
      <c r="F78" s="20"/>
      <c r="G78" s="20"/>
      <c r="H78" s="22"/>
      <c r="I78" s="22"/>
      <c r="J78" s="22"/>
      <c r="K78" s="22"/>
      <c r="L78" s="22"/>
      <c r="M78" s="20"/>
      <c r="N78" s="20"/>
      <c r="O78" s="20"/>
      <c r="P78" s="20"/>
      <c r="Q78" s="20"/>
      <c r="R78" s="20"/>
      <c r="S78" s="10"/>
      <c r="T78" s="10"/>
      <c r="U78" s="10"/>
      <c r="V78" s="30"/>
    </row>
    <row r="79" spans="3:22" ht="30" customHeight="1" x14ac:dyDescent="0.25">
      <c r="C79" s="32"/>
      <c r="D79" s="20"/>
      <c r="E79" s="20"/>
      <c r="F79" s="20"/>
      <c r="G79" s="20"/>
      <c r="H79" s="22"/>
      <c r="I79" s="22"/>
      <c r="J79" s="22"/>
      <c r="K79" s="22"/>
      <c r="L79" s="22"/>
      <c r="M79" s="20"/>
      <c r="N79" s="20"/>
      <c r="O79" s="20"/>
      <c r="P79" s="20"/>
      <c r="Q79" s="20"/>
      <c r="R79" s="20"/>
      <c r="S79" s="10"/>
      <c r="T79" s="10"/>
      <c r="U79" s="10"/>
      <c r="V79" s="30"/>
    </row>
    <row r="80" spans="3:22" ht="30" customHeight="1" x14ac:dyDescent="0.25">
      <c r="C80" s="32"/>
      <c r="D80" s="20"/>
      <c r="E80" s="20"/>
      <c r="F80" s="20"/>
      <c r="G80" s="20"/>
      <c r="H80" s="22"/>
      <c r="I80" s="22"/>
      <c r="J80" s="22"/>
      <c r="K80" s="22"/>
      <c r="L80" s="22"/>
      <c r="M80" s="20"/>
      <c r="N80" s="20"/>
      <c r="O80" s="20"/>
      <c r="P80" s="20"/>
      <c r="Q80" s="20"/>
      <c r="R80" s="20"/>
      <c r="S80" s="10"/>
      <c r="T80" s="10"/>
      <c r="U80" s="10"/>
      <c r="V80" s="30"/>
    </row>
    <row r="81" spans="1:22" ht="30" customHeight="1" x14ac:dyDescent="0.25">
      <c r="C81" s="32"/>
      <c r="D81" s="20"/>
      <c r="E81" s="20"/>
      <c r="F81" s="20"/>
      <c r="G81" s="20"/>
      <c r="H81" s="22"/>
      <c r="I81" s="22"/>
      <c r="J81" s="22"/>
      <c r="K81" s="22"/>
      <c r="L81" s="22"/>
      <c r="M81" s="20"/>
      <c r="N81" s="20"/>
      <c r="O81" s="20"/>
      <c r="P81" s="20"/>
      <c r="Q81" s="20"/>
      <c r="R81" s="20"/>
      <c r="S81" s="10"/>
      <c r="T81" s="10"/>
      <c r="U81" s="10"/>
      <c r="V81" s="30"/>
    </row>
    <row r="82" spans="1:22" ht="30" customHeight="1" x14ac:dyDescent="0.25">
      <c r="C82" s="32"/>
      <c r="D82" s="20"/>
      <c r="E82" s="20"/>
      <c r="F82" s="20"/>
      <c r="G82" s="20"/>
      <c r="H82" s="22"/>
      <c r="I82" s="22"/>
      <c r="J82" s="22"/>
      <c r="K82" s="22"/>
      <c r="L82" s="22"/>
      <c r="M82" s="20"/>
      <c r="N82" s="20"/>
      <c r="O82" s="20"/>
      <c r="P82" s="20"/>
      <c r="Q82" s="20"/>
      <c r="R82" s="20"/>
      <c r="S82" s="10"/>
      <c r="T82" s="10"/>
      <c r="U82" s="10"/>
      <c r="V82" s="30"/>
    </row>
    <row r="83" spans="1:22" ht="30" customHeight="1" x14ac:dyDescent="0.25">
      <c r="C83" s="32"/>
      <c r="D83" s="20"/>
      <c r="E83" s="20"/>
      <c r="F83" s="20"/>
      <c r="G83" s="20"/>
      <c r="H83" s="22"/>
      <c r="I83" s="22"/>
      <c r="J83" s="22"/>
      <c r="K83" s="22"/>
      <c r="L83" s="22"/>
      <c r="M83" s="20"/>
      <c r="N83" s="20"/>
      <c r="O83" s="20"/>
      <c r="P83" s="20"/>
      <c r="Q83" s="20"/>
      <c r="R83" s="20"/>
      <c r="S83" s="10"/>
      <c r="T83" s="10"/>
      <c r="U83" s="10"/>
      <c r="V83" s="30"/>
    </row>
    <row r="84" spans="1:22" ht="30" customHeight="1" x14ac:dyDescent="0.25">
      <c r="C84" s="32"/>
      <c r="D84" s="20"/>
      <c r="E84" s="20"/>
      <c r="F84" s="20"/>
      <c r="G84" s="20"/>
      <c r="H84" s="22"/>
      <c r="I84" s="22"/>
      <c r="J84" s="22"/>
      <c r="K84" s="22"/>
      <c r="L84" s="22"/>
      <c r="M84" s="20"/>
      <c r="N84" s="20"/>
      <c r="O84" s="20"/>
      <c r="P84" s="20"/>
      <c r="Q84" s="20"/>
      <c r="R84" s="20"/>
      <c r="S84" s="10"/>
      <c r="T84" s="10"/>
      <c r="U84" s="10"/>
      <c r="V84" s="30"/>
    </row>
    <row r="85" spans="1:22" ht="30" customHeight="1" x14ac:dyDescent="0.25">
      <c r="C85" s="32"/>
      <c r="D85" s="20"/>
      <c r="E85" s="20"/>
      <c r="F85" s="20"/>
      <c r="G85" s="20"/>
      <c r="H85" s="22"/>
      <c r="I85" s="22"/>
      <c r="J85" s="22"/>
      <c r="K85" s="22"/>
      <c r="L85" s="22"/>
      <c r="M85" s="20"/>
      <c r="N85" s="20"/>
      <c r="O85" s="20"/>
      <c r="P85" s="20"/>
      <c r="Q85" s="20"/>
      <c r="R85" s="20"/>
      <c r="S85" s="10"/>
      <c r="T85" s="10"/>
      <c r="U85" s="10"/>
      <c r="V85" s="30"/>
    </row>
    <row r="86" spans="1:22" ht="30" customHeight="1" x14ac:dyDescent="0.25">
      <c r="C86" s="32"/>
      <c r="D86" s="20"/>
      <c r="E86" s="20"/>
      <c r="F86" s="20"/>
      <c r="G86" s="20"/>
      <c r="H86" s="22"/>
      <c r="I86" s="22"/>
      <c r="J86" s="22"/>
      <c r="K86" s="22"/>
      <c r="L86" s="22"/>
      <c r="M86" s="20"/>
      <c r="N86" s="20"/>
      <c r="O86" s="20"/>
      <c r="P86" s="20"/>
      <c r="Q86" s="20"/>
      <c r="R86" s="20"/>
      <c r="S86" s="10"/>
      <c r="T86" s="10"/>
      <c r="U86" s="10"/>
      <c r="V86" s="30"/>
    </row>
    <row r="87" spans="1:22" ht="30" customHeight="1" x14ac:dyDescent="0.25">
      <c r="C87" s="32"/>
      <c r="D87" s="20"/>
      <c r="E87" s="20"/>
      <c r="F87" s="20"/>
      <c r="G87" s="20"/>
      <c r="H87" s="22"/>
      <c r="I87" s="22"/>
      <c r="J87" s="22"/>
      <c r="K87" s="22"/>
      <c r="L87" s="22"/>
      <c r="M87" s="20"/>
      <c r="N87" s="20"/>
      <c r="O87" s="20"/>
      <c r="P87" s="20"/>
      <c r="Q87" s="20"/>
      <c r="R87" s="20"/>
      <c r="S87" s="10"/>
      <c r="T87" s="10"/>
      <c r="U87" s="10"/>
      <c r="V87" s="30"/>
    </row>
    <row r="88" spans="1:22" ht="30" customHeight="1" x14ac:dyDescent="0.25">
      <c r="A88" s="147"/>
      <c r="B88" s="147"/>
      <c r="C88" s="32"/>
      <c r="D88" s="20"/>
      <c r="E88" s="20"/>
      <c r="F88" s="20"/>
      <c r="G88" s="20"/>
      <c r="H88" s="22"/>
      <c r="I88" s="22"/>
      <c r="J88" s="22"/>
      <c r="K88" s="22"/>
      <c r="L88" s="22"/>
      <c r="M88" s="20"/>
      <c r="N88" s="20"/>
      <c r="O88" s="20"/>
      <c r="P88" s="20"/>
      <c r="Q88" s="20"/>
      <c r="R88" s="20"/>
      <c r="S88" s="10"/>
      <c r="T88" s="10"/>
      <c r="U88" s="10"/>
      <c r="V88" s="30"/>
    </row>
    <row r="89" spans="1:22" ht="30" customHeight="1" x14ac:dyDescent="0.25">
      <c r="A89" s="147"/>
      <c r="B89" s="147"/>
      <c r="C89" s="32"/>
      <c r="D89" s="20"/>
      <c r="E89" s="20"/>
      <c r="F89" s="20"/>
      <c r="G89" s="20"/>
      <c r="H89" s="22"/>
      <c r="I89" s="22"/>
      <c r="J89" s="22"/>
      <c r="K89" s="22"/>
      <c r="L89" s="22"/>
      <c r="M89" s="20"/>
      <c r="N89" s="20"/>
      <c r="O89" s="20"/>
      <c r="P89" s="20"/>
      <c r="Q89" s="20"/>
      <c r="R89" s="20"/>
      <c r="S89" s="10"/>
      <c r="T89" s="10"/>
      <c r="U89" s="10"/>
      <c r="V89" s="30"/>
    </row>
    <row r="90" spans="1:22" ht="30" customHeight="1" x14ac:dyDescent="0.25">
      <c r="A90" s="147"/>
      <c r="B90" s="147"/>
      <c r="C90" s="32"/>
      <c r="D90" s="20"/>
      <c r="E90" s="20"/>
      <c r="F90" s="20"/>
      <c r="G90" s="20"/>
      <c r="H90" s="22"/>
      <c r="I90" s="22"/>
      <c r="J90" s="22"/>
      <c r="K90" s="22"/>
      <c r="L90" s="22"/>
      <c r="M90" s="20"/>
      <c r="N90" s="20"/>
      <c r="O90" s="20"/>
      <c r="P90" s="20"/>
      <c r="Q90" s="20"/>
      <c r="R90" s="20"/>
      <c r="S90" s="10"/>
      <c r="T90" s="10"/>
      <c r="U90" s="10"/>
      <c r="V90" s="30"/>
    </row>
    <row r="91" spans="1:22" ht="30" customHeight="1" x14ac:dyDescent="0.25">
      <c r="A91" s="147"/>
      <c r="B91" s="147"/>
      <c r="C91" s="32"/>
      <c r="D91" s="20"/>
      <c r="E91" s="20"/>
      <c r="F91" s="20"/>
      <c r="G91" s="20"/>
      <c r="H91" s="22"/>
      <c r="I91" s="22"/>
      <c r="J91" s="22"/>
      <c r="K91" s="22"/>
      <c r="L91" s="22"/>
      <c r="M91" s="20"/>
      <c r="N91" s="20"/>
      <c r="O91" s="20"/>
      <c r="P91" s="20"/>
      <c r="Q91" s="20"/>
      <c r="R91" s="20"/>
      <c r="S91" s="10"/>
      <c r="T91" s="10"/>
      <c r="U91" s="10"/>
      <c r="V91" s="30"/>
    </row>
    <row r="92" spans="1:22" ht="30" customHeight="1" x14ac:dyDescent="0.25">
      <c r="A92" s="147"/>
      <c r="B92" s="147"/>
      <c r="C92" s="32"/>
      <c r="D92" s="20"/>
      <c r="E92" s="20"/>
      <c r="F92" s="20"/>
      <c r="G92" s="20"/>
      <c r="H92" s="22"/>
      <c r="I92" s="22"/>
      <c r="J92" s="22"/>
      <c r="K92" s="22"/>
      <c r="L92" s="22"/>
      <c r="M92" s="20"/>
      <c r="N92" s="20"/>
      <c r="O92" s="20"/>
      <c r="P92" s="20"/>
      <c r="Q92" s="20"/>
      <c r="R92" s="20"/>
      <c r="S92" s="10"/>
      <c r="T92" s="10"/>
      <c r="U92" s="10"/>
      <c r="V92" s="30"/>
    </row>
    <row r="93" spans="1:22" ht="30" customHeight="1" x14ac:dyDescent="0.25">
      <c r="C93" s="32"/>
      <c r="D93" s="20"/>
      <c r="E93" s="20"/>
      <c r="F93" s="20"/>
      <c r="G93" s="20"/>
      <c r="H93" s="22"/>
      <c r="I93" s="22"/>
      <c r="J93" s="22"/>
      <c r="K93" s="22"/>
      <c r="L93" s="22"/>
      <c r="M93" s="20"/>
      <c r="N93" s="20"/>
      <c r="O93" s="20"/>
      <c r="P93" s="20"/>
      <c r="Q93" s="20"/>
      <c r="R93" s="20"/>
      <c r="S93" s="13"/>
      <c r="T93" s="13"/>
      <c r="U93" s="10"/>
      <c r="V93" s="30"/>
    </row>
    <row r="94" spans="1:22" ht="30" customHeight="1" x14ac:dyDescent="0.25">
      <c r="C94" s="32"/>
      <c r="D94" s="20"/>
      <c r="E94" s="20"/>
      <c r="F94" s="20"/>
      <c r="G94" s="20"/>
      <c r="H94" s="22"/>
      <c r="I94" s="22"/>
      <c r="J94" s="22"/>
      <c r="K94" s="22"/>
      <c r="L94" s="22"/>
      <c r="M94" s="20"/>
      <c r="N94" s="20"/>
      <c r="O94" s="20"/>
      <c r="P94" s="20"/>
      <c r="Q94" s="20"/>
      <c r="R94" s="20"/>
      <c r="S94" s="10"/>
      <c r="T94" s="10"/>
      <c r="U94" s="10"/>
      <c r="V94" s="30"/>
    </row>
    <row r="95" spans="1:22" ht="30" customHeight="1" x14ac:dyDescent="0.25">
      <c r="C95" s="32"/>
      <c r="D95" s="20"/>
      <c r="E95" s="20"/>
      <c r="F95" s="20"/>
      <c r="G95" s="20"/>
      <c r="H95" s="22"/>
      <c r="I95" s="22"/>
      <c r="J95" s="22"/>
      <c r="K95" s="22"/>
      <c r="L95" s="22"/>
      <c r="M95" s="20"/>
      <c r="N95" s="20"/>
      <c r="O95" s="20"/>
      <c r="P95" s="20"/>
      <c r="Q95" s="20"/>
      <c r="R95" s="20"/>
      <c r="S95" s="10"/>
      <c r="T95" s="10"/>
      <c r="U95" s="10"/>
      <c r="V95" s="30"/>
    </row>
    <row r="96" spans="1:22" ht="30" customHeight="1" x14ac:dyDescent="0.25">
      <c r="C96" s="32"/>
      <c r="D96" s="20"/>
      <c r="E96" s="20"/>
      <c r="F96" s="20"/>
      <c r="G96" s="20"/>
      <c r="H96" s="22"/>
      <c r="I96" s="22"/>
      <c r="J96" s="22"/>
      <c r="K96" s="22"/>
      <c r="L96" s="22"/>
      <c r="M96" s="20"/>
      <c r="N96" s="20"/>
      <c r="O96" s="20"/>
      <c r="P96" s="20"/>
      <c r="Q96" s="20"/>
      <c r="R96" s="20"/>
      <c r="S96" s="10"/>
      <c r="T96" s="10"/>
      <c r="U96" s="10"/>
      <c r="V96" s="30"/>
    </row>
    <row r="97" spans="3:22" ht="30" customHeight="1" x14ac:dyDescent="0.25">
      <c r="C97" s="32"/>
      <c r="D97" s="20"/>
      <c r="E97" s="20"/>
      <c r="F97" s="20"/>
      <c r="G97" s="20"/>
      <c r="H97" s="22"/>
      <c r="I97" s="22"/>
      <c r="J97" s="22"/>
      <c r="K97" s="22"/>
      <c r="L97" s="22"/>
      <c r="M97" s="20"/>
      <c r="N97" s="20"/>
      <c r="O97" s="20"/>
      <c r="P97" s="20"/>
      <c r="Q97" s="20"/>
      <c r="R97" s="20"/>
      <c r="S97" s="10"/>
      <c r="T97" s="10"/>
      <c r="U97" s="10"/>
      <c r="V97" s="30"/>
    </row>
    <row r="98" spans="3:22" ht="30" customHeight="1" x14ac:dyDescent="0.25">
      <c r="C98" s="32"/>
      <c r="D98" s="20"/>
      <c r="E98" s="20"/>
      <c r="F98" s="20"/>
      <c r="G98" s="20"/>
      <c r="H98" s="22"/>
      <c r="I98" s="22"/>
      <c r="J98" s="22"/>
      <c r="K98" s="22"/>
      <c r="L98" s="22"/>
      <c r="M98" s="20"/>
      <c r="N98" s="20"/>
      <c r="O98" s="20"/>
      <c r="P98" s="20"/>
      <c r="Q98" s="20"/>
      <c r="R98" s="20"/>
      <c r="S98" s="10"/>
      <c r="T98" s="10"/>
      <c r="U98" s="10"/>
      <c r="V98" s="30"/>
    </row>
    <row r="99" spans="3:22" ht="30" customHeight="1" x14ac:dyDescent="0.25">
      <c r="C99" s="32"/>
      <c r="D99" s="20"/>
      <c r="E99" s="20"/>
      <c r="F99" s="20"/>
      <c r="G99" s="20"/>
      <c r="H99" s="22"/>
      <c r="I99" s="22"/>
      <c r="J99" s="22"/>
      <c r="K99" s="22"/>
      <c r="L99" s="22"/>
      <c r="M99" s="20"/>
      <c r="N99" s="20"/>
      <c r="O99" s="20"/>
      <c r="P99" s="20"/>
      <c r="Q99" s="20"/>
      <c r="R99" s="20"/>
      <c r="S99" s="10"/>
      <c r="T99" s="10"/>
      <c r="U99" s="10"/>
      <c r="V99" s="30"/>
    </row>
    <row r="100" spans="3:22" ht="30" customHeight="1" x14ac:dyDescent="0.25">
      <c r="C100" s="32"/>
      <c r="D100" s="20"/>
      <c r="E100" s="20"/>
      <c r="F100" s="20"/>
      <c r="G100" s="20"/>
      <c r="H100" s="22"/>
      <c r="I100" s="22"/>
      <c r="J100" s="22"/>
      <c r="K100" s="22"/>
      <c r="L100" s="22"/>
      <c r="M100" s="20"/>
      <c r="N100" s="20"/>
      <c r="O100" s="20"/>
      <c r="P100" s="20"/>
      <c r="Q100" s="20"/>
      <c r="R100" s="20"/>
      <c r="S100" s="10"/>
      <c r="T100" s="10"/>
      <c r="U100" s="10"/>
      <c r="V100" s="30"/>
    </row>
    <row r="101" spans="3:22" ht="30" customHeight="1" x14ac:dyDescent="0.25">
      <c r="C101" s="32"/>
      <c r="D101" s="20"/>
      <c r="E101" s="20"/>
      <c r="F101" s="20"/>
      <c r="G101" s="20"/>
      <c r="H101" s="22"/>
      <c r="I101" s="22"/>
      <c r="J101" s="22"/>
      <c r="K101" s="22"/>
      <c r="L101" s="22"/>
      <c r="M101" s="20"/>
      <c r="N101" s="20"/>
      <c r="O101" s="20"/>
      <c r="P101" s="20"/>
      <c r="Q101" s="20"/>
      <c r="R101" s="20"/>
      <c r="S101" s="10"/>
      <c r="T101" s="10"/>
      <c r="U101" s="10"/>
      <c r="V101" s="30"/>
    </row>
    <row r="102" spans="3:22" ht="30" customHeight="1" x14ac:dyDescent="0.25">
      <c r="C102" s="32"/>
      <c r="D102" s="20"/>
      <c r="E102" s="20"/>
      <c r="F102" s="20"/>
      <c r="G102" s="20"/>
      <c r="H102" s="22"/>
      <c r="I102" s="22"/>
      <c r="J102" s="22"/>
      <c r="K102" s="22"/>
      <c r="L102" s="22"/>
      <c r="M102" s="20"/>
      <c r="N102" s="20"/>
      <c r="O102" s="20"/>
      <c r="P102" s="20"/>
      <c r="Q102" s="20"/>
      <c r="R102" s="20"/>
      <c r="S102" s="10"/>
      <c r="T102" s="10"/>
      <c r="U102" s="10"/>
      <c r="V102" s="30"/>
    </row>
    <row r="103" spans="3:22" ht="30" customHeight="1" x14ac:dyDescent="0.25">
      <c r="C103" s="32"/>
      <c r="D103" s="20"/>
      <c r="E103" s="20"/>
      <c r="F103" s="20"/>
      <c r="G103" s="20"/>
      <c r="H103" s="22"/>
      <c r="I103" s="22"/>
      <c r="J103" s="22"/>
      <c r="K103" s="22"/>
      <c r="L103" s="22"/>
      <c r="M103" s="20"/>
      <c r="N103" s="20"/>
      <c r="O103" s="20"/>
      <c r="P103" s="20"/>
      <c r="Q103" s="20"/>
      <c r="R103" s="20"/>
      <c r="S103" s="10"/>
      <c r="T103" s="10"/>
      <c r="U103" s="10"/>
      <c r="V103" s="30"/>
    </row>
    <row r="104" spans="3:22" ht="30" customHeight="1" x14ac:dyDescent="0.25">
      <c r="C104" s="32"/>
      <c r="D104" s="20"/>
      <c r="E104" s="20"/>
      <c r="F104" s="20"/>
      <c r="G104" s="20"/>
      <c r="H104" s="22"/>
      <c r="I104" s="22"/>
      <c r="J104" s="22"/>
      <c r="K104" s="22"/>
      <c r="L104" s="22"/>
      <c r="M104" s="20"/>
      <c r="N104" s="20"/>
      <c r="O104" s="20"/>
      <c r="P104" s="20"/>
      <c r="Q104" s="20"/>
      <c r="R104" s="20"/>
      <c r="S104" s="10"/>
      <c r="T104" s="10"/>
      <c r="U104" s="10"/>
      <c r="V104" s="30"/>
    </row>
    <row r="105" spans="3:22" ht="30" customHeight="1" x14ac:dyDescent="0.25">
      <c r="C105" s="32"/>
      <c r="D105" s="20"/>
      <c r="E105" s="20"/>
      <c r="F105" s="20"/>
      <c r="G105" s="20"/>
      <c r="H105" s="22"/>
      <c r="I105" s="22"/>
      <c r="J105" s="22"/>
      <c r="K105" s="22"/>
      <c r="L105" s="22"/>
      <c r="M105" s="20"/>
      <c r="N105" s="20"/>
      <c r="O105" s="20"/>
      <c r="P105" s="20"/>
      <c r="Q105" s="20"/>
      <c r="R105" s="20"/>
      <c r="S105" s="10"/>
      <c r="T105" s="10"/>
      <c r="U105" s="10"/>
      <c r="V105" s="30"/>
    </row>
    <row r="106" spans="3:22" ht="30" customHeight="1" x14ac:dyDescent="0.25">
      <c r="C106" s="32"/>
      <c r="D106" s="20"/>
      <c r="E106" s="20"/>
      <c r="F106" s="20"/>
      <c r="G106" s="20"/>
      <c r="H106" s="22"/>
      <c r="I106" s="22"/>
      <c r="J106" s="22"/>
      <c r="K106" s="22"/>
      <c r="L106" s="22"/>
      <c r="M106" s="20"/>
      <c r="N106" s="20"/>
      <c r="O106" s="20"/>
      <c r="P106" s="20"/>
      <c r="Q106" s="20"/>
      <c r="R106" s="20"/>
      <c r="S106" s="10"/>
      <c r="T106" s="10"/>
      <c r="U106" s="10"/>
      <c r="V106" s="30"/>
    </row>
    <row r="107" spans="3:22" ht="30" customHeight="1" x14ac:dyDescent="0.25">
      <c r="C107" s="32"/>
      <c r="D107" s="20"/>
      <c r="E107" s="20"/>
      <c r="F107" s="20"/>
      <c r="G107" s="20"/>
      <c r="H107" s="22"/>
      <c r="I107" s="22"/>
      <c r="J107" s="22"/>
      <c r="K107" s="22"/>
      <c r="L107" s="22"/>
      <c r="M107" s="20"/>
      <c r="N107" s="20"/>
      <c r="O107" s="20"/>
      <c r="P107" s="20"/>
      <c r="Q107" s="20"/>
      <c r="R107" s="20"/>
      <c r="S107" s="10"/>
      <c r="T107" s="10"/>
      <c r="U107" s="10"/>
      <c r="V107" s="30"/>
    </row>
    <row r="108" spans="3:22" ht="30" customHeight="1" x14ac:dyDescent="0.25">
      <c r="C108" s="32"/>
      <c r="D108" s="20"/>
      <c r="E108" s="20"/>
      <c r="F108" s="20"/>
      <c r="G108" s="20"/>
      <c r="H108" s="22"/>
      <c r="I108" s="22"/>
      <c r="J108" s="22"/>
      <c r="K108" s="22"/>
      <c r="L108" s="22"/>
      <c r="M108" s="20"/>
      <c r="N108" s="20"/>
      <c r="O108" s="20"/>
      <c r="P108" s="20"/>
      <c r="Q108" s="20"/>
      <c r="R108" s="20"/>
      <c r="S108" s="10"/>
      <c r="T108" s="10"/>
      <c r="U108" s="10"/>
      <c r="V108" s="30"/>
    </row>
    <row r="109" spans="3:22" ht="30" customHeight="1" x14ac:dyDescent="0.25">
      <c r="C109" s="32"/>
      <c r="D109" s="20"/>
      <c r="E109" s="20"/>
      <c r="F109" s="20"/>
      <c r="G109" s="20"/>
      <c r="H109" s="22"/>
      <c r="I109" s="22"/>
      <c r="J109" s="22"/>
      <c r="K109" s="22"/>
      <c r="L109" s="22"/>
      <c r="M109" s="20"/>
      <c r="N109" s="20"/>
      <c r="O109" s="20"/>
      <c r="P109" s="20"/>
      <c r="Q109" s="20"/>
      <c r="R109" s="20"/>
      <c r="S109" s="10"/>
      <c r="T109" s="10"/>
      <c r="U109" s="10"/>
      <c r="V109" s="30"/>
    </row>
    <row r="110" spans="3:22" ht="30" customHeight="1" x14ac:dyDescent="0.25">
      <c r="C110" s="32"/>
      <c r="D110" s="20"/>
      <c r="E110" s="20"/>
      <c r="F110" s="20"/>
      <c r="G110" s="20"/>
      <c r="H110" s="22"/>
      <c r="I110" s="22"/>
      <c r="J110" s="22"/>
      <c r="K110" s="22"/>
      <c r="L110" s="22"/>
      <c r="M110" s="20"/>
      <c r="N110" s="20"/>
      <c r="O110" s="20"/>
      <c r="P110" s="20"/>
      <c r="Q110" s="20"/>
      <c r="R110" s="20"/>
      <c r="S110" s="10"/>
      <c r="T110" s="10"/>
      <c r="U110" s="10"/>
      <c r="V110" s="30"/>
    </row>
    <row r="111" spans="3:22" ht="30" customHeight="1" x14ac:dyDescent="0.25">
      <c r="C111" s="32"/>
      <c r="D111" s="20"/>
      <c r="E111" s="20"/>
      <c r="F111" s="20"/>
      <c r="G111" s="20"/>
      <c r="H111" s="22"/>
      <c r="I111" s="22"/>
      <c r="J111" s="22"/>
      <c r="K111" s="22"/>
      <c r="L111" s="22"/>
      <c r="M111" s="20"/>
      <c r="N111" s="20"/>
      <c r="O111" s="20"/>
      <c r="P111" s="20"/>
      <c r="Q111" s="20"/>
      <c r="R111" s="20"/>
      <c r="S111" s="10"/>
      <c r="T111" s="10"/>
      <c r="U111" s="10"/>
      <c r="V111" s="30"/>
    </row>
    <row r="112" spans="3:22" ht="30" customHeight="1" x14ac:dyDescent="0.25">
      <c r="C112" s="32"/>
      <c r="D112" s="20"/>
      <c r="E112" s="20"/>
      <c r="F112" s="20"/>
      <c r="G112" s="20"/>
      <c r="H112" s="22"/>
      <c r="I112" s="22"/>
      <c r="J112" s="22"/>
      <c r="K112" s="22"/>
      <c r="L112" s="22"/>
      <c r="M112" s="20"/>
      <c r="N112" s="20"/>
      <c r="O112" s="20"/>
      <c r="P112" s="20"/>
      <c r="Q112" s="20"/>
      <c r="R112" s="20"/>
      <c r="S112" s="10"/>
      <c r="T112" s="10"/>
      <c r="U112" s="10"/>
      <c r="V112" s="30"/>
    </row>
    <row r="113" spans="3:22" ht="30" customHeight="1" x14ac:dyDescent="0.25">
      <c r="C113" s="32"/>
      <c r="D113" s="20"/>
      <c r="E113" s="20"/>
      <c r="F113" s="20"/>
      <c r="G113" s="20"/>
      <c r="H113" s="22"/>
      <c r="I113" s="22"/>
      <c r="J113" s="22"/>
      <c r="K113" s="22"/>
      <c r="L113" s="22"/>
      <c r="M113" s="20"/>
      <c r="N113" s="20"/>
      <c r="O113" s="20"/>
      <c r="P113" s="20"/>
      <c r="Q113" s="20"/>
      <c r="R113" s="20"/>
      <c r="S113" s="10"/>
      <c r="T113" s="10"/>
      <c r="U113" s="10"/>
      <c r="V113" s="30"/>
    </row>
    <row r="114" spans="3:22" ht="30" customHeight="1" x14ac:dyDescent="0.25">
      <c r="C114" s="32"/>
      <c r="D114" s="20"/>
      <c r="E114" s="20"/>
      <c r="F114" s="20"/>
      <c r="G114" s="20"/>
      <c r="H114" s="22"/>
      <c r="I114" s="22"/>
      <c r="J114" s="22"/>
      <c r="K114" s="22"/>
      <c r="L114" s="22"/>
      <c r="M114" s="20"/>
      <c r="N114" s="20"/>
      <c r="O114" s="20"/>
      <c r="P114" s="20"/>
      <c r="Q114" s="20"/>
      <c r="R114" s="20"/>
      <c r="S114" s="10"/>
      <c r="T114" s="10"/>
      <c r="U114" s="10"/>
      <c r="V114" s="30"/>
    </row>
    <row r="115" spans="3:22" ht="30" customHeight="1" x14ac:dyDescent="0.25">
      <c r="C115" s="32"/>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workbookViewId="0">
      <pane xSplit="2" ySplit="2" topLeftCell="C3" activePane="bottomRight" state="frozen"/>
      <selection pane="topRight" activeCell="B1" sqref="B1"/>
      <selection pane="bottomLeft" activeCell="A2" sqref="A2"/>
      <selection pane="bottomRight" sqref="A1:XFD1"/>
    </sheetView>
  </sheetViews>
  <sheetFormatPr baseColWidth="10" defaultColWidth="9.140625" defaultRowHeight="30" customHeight="1" x14ac:dyDescent="0.25"/>
  <cols>
    <col min="1" max="1" width="15.7109375" style="72" customWidth="1"/>
    <col min="2" max="2" width="15.7109375" customWidth="1"/>
    <col min="3" max="3" width="15" customWidth="1"/>
    <col min="4" max="4" width="15.140625" customWidth="1"/>
    <col min="5" max="5" width="20.42578125" customWidth="1"/>
    <col min="6" max="6" width="35.140625" customWidth="1"/>
    <col min="7" max="7" width="19.140625" customWidth="1"/>
    <col min="8" max="8" width="117" style="76" customWidth="1"/>
  </cols>
  <sheetData>
    <row r="1" spans="1:8" ht="30" hidden="1" customHeight="1" x14ac:dyDescent="0.25">
      <c r="A1" s="4" t="s">
        <v>221</v>
      </c>
      <c r="B1" s="4" t="s">
        <v>222</v>
      </c>
      <c r="C1" s="27" t="s">
        <v>195</v>
      </c>
      <c r="D1" s="27" t="s">
        <v>196</v>
      </c>
      <c r="E1" s="4" t="s">
        <v>3</v>
      </c>
      <c r="F1" s="4" t="s">
        <v>18</v>
      </c>
      <c r="G1" s="4" t="s">
        <v>4</v>
      </c>
      <c r="H1" s="5" t="s">
        <v>5</v>
      </c>
    </row>
    <row r="2" spans="1:8" ht="50.25" customHeight="1" x14ac:dyDescent="0.25">
      <c r="A2" s="4" t="s">
        <v>221</v>
      </c>
      <c r="B2" s="4" t="s">
        <v>222</v>
      </c>
      <c r="C2" s="289" t="s">
        <v>576</v>
      </c>
      <c r="D2" s="289" t="s">
        <v>577</v>
      </c>
      <c r="E2" s="4" t="s">
        <v>3</v>
      </c>
      <c r="F2" s="4" t="s">
        <v>18</v>
      </c>
      <c r="G2" s="4" t="s">
        <v>4</v>
      </c>
      <c r="H2" s="5" t="s">
        <v>5</v>
      </c>
    </row>
    <row r="3" spans="1:8" ht="30" customHeight="1" x14ac:dyDescent="0.25">
      <c r="A3" s="82">
        <v>2013</v>
      </c>
      <c r="B3" s="82">
        <f>2012</f>
        <v>2012</v>
      </c>
      <c r="C3" s="66">
        <f>6%</f>
        <v>0.06</v>
      </c>
      <c r="D3" s="15">
        <v>18000</v>
      </c>
      <c r="H3" s="101" t="s">
        <v>575</v>
      </c>
    </row>
    <row r="4" spans="1:8" ht="30" customHeight="1" x14ac:dyDescent="0.25">
      <c r="A4" s="82">
        <v>2012</v>
      </c>
      <c r="B4" s="82">
        <f>B3-1</f>
        <v>2011</v>
      </c>
      <c r="C4" s="66">
        <f>8%</f>
        <v>0.08</v>
      </c>
      <c r="D4" s="15">
        <f>20000</f>
        <v>20000</v>
      </c>
      <c r="H4" s="101"/>
    </row>
    <row r="5" spans="1:8" ht="30" customHeight="1" x14ac:dyDescent="0.25">
      <c r="A5" s="82">
        <v>2011</v>
      </c>
      <c r="B5" s="82">
        <f t="shared" ref="B5:B20" si="0">B4-1</f>
        <v>2010</v>
      </c>
      <c r="C5" s="66">
        <f>10%</f>
        <v>0.1</v>
      </c>
      <c r="D5" s="15">
        <f>25000</f>
        <v>25000</v>
      </c>
      <c r="E5" s="63"/>
      <c r="F5" s="63"/>
      <c r="G5" s="52"/>
      <c r="H5" s="101"/>
    </row>
    <row r="6" spans="1:8" ht="30" customHeight="1" x14ac:dyDescent="0.25">
      <c r="A6" s="82">
        <v>2010</v>
      </c>
      <c r="B6" s="82">
        <f t="shared" si="0"/>
        <v>2009</v>
      </c>
      <c r="C6" s="132"/>
      <c r="D6" s="133"/>
      <c r="H6" s="101"/>
    </row>
    <row r="7" spans="1:8" ht="30" customHeight="1" x14ac:dyDescent="0.25">
      <c r="A7" s="82">
        <v>2009</v>
      </c>
      <c r="B7" s="82">
        <f t="shared" si="0"/>
        <v>2008</v>
      </c>
      <c r="C7" s="132"/>
      <c r="D7" s="133"/>
      <c r="E7" s="63"/>
      <c r="F7" s="68"/>
      <c r="G7" s="77"/>
      <c r="H7" s="101"/>
    </row>
    <row r="8" spans="1:8" ht="30" customHeight="1" x14ac:dyDescent="0.25">
      <c r="A8" s="82">
        <v>2008</v>
      </c>
      <c r="B8" s="82">
        <f t="shared" si="0"/>
        <v>2007</v>
      </c>
      <c r="C8" s="132"/>
      <c r="D8" s="133"/>
    </row>
    <row r="9" spans="1:8" ht="30" customHeight="1" x14ac:dyDescent="0.25">
      <c r="A9" s="82">
        <v>2007</v>
      </c>
      <c r="B9" s="82">
        <f t="shared" si="0"/>
        <v>2006</v>
      </c>
      <c r="C9" s="132"/>
      <c r="D9" s="133"/>
    </row>
    <row r="10" spans="1:8" ht="30" customHeight="1" x14ac:dyDescent="0.25">
      <c r="A10" s="82">
        <v>2006</v>
      </c>
      <c r="B10" s="82">
        <f t="shared" si="0"/>
        <v>2005</v>
      </c>
      <c r="C10" s="132"/>
      <c r="D10" s="133"/>
      <c r="E10" s="63"/>
      <c r="F10" s="63"/>
      <c r="G10" s="52"/>
    </row>
    <row r="11" spans="1:8" ht="30" customHeight="1" x14ac:dyDescent="0.25">
      <c r="A11" s="82">
        <v>2005</v>
      </c>
      <c r="B11" s="82">
        <f t="shared" si="0"/>
        <v>2004</v>
      </c>
      <c r="C11" s="132"/>
      <c r="D11" s="133"/>
      <c r="E11" s="63"/>
      <c r="F11" s="63"/>
      <c r="G11" s="52"/>
    </row>
    <row r="12" spans="1:8" ht="30" customHeight="1" x14ac:dyDescent="0.25">
      <c r="A12" s="82">
        <v>2004</v>
      </c>
      <c r="B12" s="82">
        <f t="shared" si="0"/>
        <v>2003</v>
      </c>
      <c r="C12" s="132"/>
      <c r="D12" s="133"/>
      <c r="E12" s="63"/>
      <c r="F12" s="63"/>
      <c r="G12" s="52"/>
    </row>
    <row r="13" spans="1:8" ht="30" customHeight="1" x14ac:dyDescent="0.25">
      <c r="A13" s="82">
        <v>2003</v>
      </c>
      <c r="B13" s="82">
        <f t="shared" si="0"/>
        <v>2002</v>
      </c>
      <c r="C13" s="132"/>
      <c r="D13" s="133"/>
      <c r="E13" s="109"/>
      <c r="F13" s="109"/>
    </row>
    <row r="14" spans="1:8" ht="30" customHeight="1" x14ac:dyDescent="0.25">
      <c r="A14" s="82">
        <v>2002</v>
      </c>
      <c r="B14" s="82">
        <f t="shared" si="0"/>
        <v>2001</v>
      </c>
      <c r="C14" s="132"/>
      <c r="D14" s="134"/>
      <c r="E14" s="109"/>
      <c r="F14" s="109"/>
    </row>
    <row r="15" spans="1:8" ht="30" customHeight="1" x14ac:dyDescent="0.25">
      <c r="A15" s="82">
        <v>2001</v>
      </c>
      <c r="B15" s="82">
        <f t="shared" si="0"/>
        <v>2000</v>
      </c>
      <c r="C15" s="132"/>
      <c r="D15" s="134"/>
      <c r="E15" s="109"/>
      <c r="F15" s="109"/>
    </row>
    <row r="16" spans="1:8" ht="30" customHeight="1" x14ac:dyDescent="0.25">
      <c r="A16" s="82">
        <v>2000</v>
      </c>
      <c r="B16" s="82">
        <f t="shared" si="0"/>
        <v>1999</v>
      </c>
      <c r="C16" s="132"/>
      <c r="D16" s="134"/>
      <c r="E16" s="109"/>
      <c r="F16" s="109"/>
    </row>
    <row r="17" spans="1:6" ht="30" customHeight="1" x14ac:dyDescent="0.25">
      <c r="A17" s="82">
        <v>1999</v>
      </c>
      <c r="B17" s="82">
        <f t="shared" si="0"/>
        <v>1998</v>
      </c>
      <c r="C17" s="132"/>
      <c r="D17" s="134"/>
      <c r="E17" s="109"/>
      <c r="F17" s="109"/>
    </row>
    <row r="18" spans="1:6" ht="30" customHeight="1" x14ac:dyDescent="0.25">
      <c r="A18" s="82">
        <v>1998</v>
      </c>
      <c r="B18" s="82">
        <f t="shared" si="0"/>
        <v>1997</v>
      </c>
      <c r="C18" s="132"/>
      <c r="D18" s="134"/>
      <c r="E18" s="109"/>
      <c r="F18" s="109"/>
    </row>
    <row r="19" spans="1:6" ht="30" customHeight="1" x14ac:dyDescent="0.25">
      <c r="A19" s="82">
        <v>1997</v>
      </c>
      <c r="B19" s="82">
        <f t="shared" si="0"/>
        <v>1996</v>
      </c>
      <c r="C19" s="132"/>
      <c r="D19" s="134"/>
      <c r="E19" s="109"/>
      <c r="F19" s="109"/>
    </row>
    <row r="20" spans="1:6" ht="30" customHeight="1" x14ac:dyDescent="0.25">
      <c r="A20" s="82">
        <v>1996</v>
      </c>
      <c r="B20" s="82">
        <f t="shared" si="0"/>
        <v>1995</v>
      </c>
      <c r="C20" s="132"/>
      <c r="D20" s="134"/>
      <c r="E20" s="109"/>
      <c r="F20" s="109"/>
    </row>
    <row r="75" spans="1:1" ht="30" customHeight="1" x14ac:dyDescent="0.25">
      <c r="A75" s="147"/>
    </row>
    <row r="76" spans="1:1" ht="30" customHeight="1" x14ac:dyDescent="0.25">
      <c r="A76" s="147"/>
    </row>
    <row r="77" spans="1:1" ht="30" customHeight="1" x14ac:dyDescent="0.25">
      <c r="A77" s="147"/>
    </row>
    <row r="78" spans="1:1" ht="30" customHeight="1" x14ac:dyDescent="0.25">
      <c r="A78" s="147"/>
    </row>
    <row r="79" spans="1:1" ht="30" customHeight="1" x14ac:dyDescent="0.25">
      <c r="A79" s="147"/>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workbookViewId="0">
      <pane xSplit="2" ySplit="2" topLeftCell="C3" activePane="bottomRight" state="frozen"/>
      <selection pane="topRight" activeCell="C1" sqref="C1"/>
      <selection pane="bottomLeft" activeCell="A2" sqref="A2"/>
      <selection pane="bottomRight" activeCell="H3" sqref="H3"/>
    </sheetView>
  </sheetViews>
  <sheetFormatPr baseColWidth="10" defaultColWidth="9.140625" defaultRowHeight="15" x14ac:dyDescent="0.25"/>
  <cols>
    <col min="1" max="2" width="15.7109375" style="35" customWidth="1"/>
    <col min="3" max="3" width="20.5703125" customWidth="1"/>
    <col min="4" max="4" width="17.7109375" customWidth="1"/>
    <col min="5" max="5" width="20.28515625" style="23" customWidth="1"/>
    <col min="6" max="6" width="21.42578125" style="23" customWidth="1"/>
    <col min="7" max="7" width="18" customWidth="1"/>
    <col min="8" max="8" width="25" customWidth="1"/>
    <col min="9" max="9" width="13" style="34" customWidth="1"/>
    <col min="10" max="10" width="114.5703125" customWidth="1"/>
  </cols>
  <sheetData>
    <row r="1" spans="1:13" ht="30" hidden="1" customHeight="1" x14ac:dyDescent="0.25">
      <c r="A1" s="4" t="s">
        <v>221</v>
      </c>
      <c r="B1" s="4" t="s">
        <v>222</v>
      </c>
      <c r="C1" s="4" t="s">
        <v>322</v>
      </c>
      <c r="D1" s="4" t="s">
        <v>323</v>
      </c>
      <c r="E1" s="146" t="s">
        <v>324</v>
      </c>
      <c r="F1" s="146" t="s">
        <v>325</v>
      </c>
      <c r="G1" s="4" t="s">
        <v>3</v>
      </c>
      <c r="H1" s="4" t="s">
        <v>18</v>
      </c>
      <c r="I1" s="4" t="s">
        <v>4</v>
      </c>
      <c r="J1" s="5" t="s">
        <v>5</v>
      </c>
    </row>
    <row r="2" spans="1:13" ht="63.75" customHeight="1" x14ac:dyDescent="0.25">
      <c r="A2" s="4" t="s">
        <v>221</v>
      </c>
      <c r="B2" s="4" t="s">
        <v>222</v>
      </c>
      <c r="C2" s="277" t="s">
        <v>578</v>
      </c>
      <c r="D2" s="277" t="s">
        <v>579</v>
      </c>
      <c r="E2" s="283" t="s">
        <v>580</v>
      </c>
      <c r="F2" s="283" t="s">
        <v>581</v>
      </c>
      <c r="G2" s="4" t="s">
        <v>3</v>
      </c>
      <c r="H2" s="4" t="s">
        <v>18</v>
      </c>
      <c r="I2" s="4" t="s">
        <v>4</v>
      </c>
      <c r="J2" s="5" t="s">
        <v>5</v>
      </c>
    </row>
    <row r="3" spans="1:13" s="109" customFormat="1" ht="63.75" customHeight="1" x14ac:dyDescent="0.25">
      <c r="A3" s="82">
        <v>2012</v>
      </c>
      <c r="B3" s="82">
        <v>2011</v>
      </c>
      <c r="C3" s="189">
        <v>250000</v>
      </c>
      <c r="D3" s="189">
        <v>500000</v>
      </c>
      <c r="E3" s="190">
        <v>0.03</v>
      </c>
      <c r="F3" s="190">
        <v>0.04</v>
      </c>
      <c r="G3" s="191"/>
      <c r="H3" s="51" t="s">
        <v>319</v>
      </c>
      <c r="I3" s="62">
        <v>40905</v>
      </c>
      <c r="J3" s="281" t="s">
        <v>582</v>
      </c>
    </row>
    <row r="4" spans="1:13" ht="30" customHeight="1" x14ac:dyDescent="0.25">
      <c r="A4" s="82">
        <v>2011</v>
      </c>
      <c r="B4" s="82">
        <v>2010</v>
      </c>
      <c r="C4" s="183"/>
      <c r="D4" s="183"/>
      <c r="E4" s="184"/>
      <c r="F4" s="137"/>
      <c r="G4" s="51"/>
      <c r="H4" s="51"/>
      <c r="I4" s="52"/>
      <c r="J4" s="280" t="s">
        <v>583</v>
      </c>
      <c r="K4" s="37"/>
      <c r="L4" s="37"/>
      <c r="M4" s="37"/>
    </row>
    <row r="5" spans="1:13" ht="30" customHeight="1" x14ac:dyDescent="0.25">
      <c r="A5" s="82">
        <v>2010</v>
      </c>
      <c r="B5" s="82">
        <v>2009</v>
      </c>
      <c r="C5" s="183"/>
      <c r="D5" s="183"/>
      <c r="E5" s="184"/>
      <c r="F5" s="137"/>
      <c r="G5" s="51"/>
      <c r="H5" s="51"/>
      <c r="I5" s="52"/>
      <c r="J5" s="61"/>
      <c r="K5" s="37"/>
      <c r="L5" s="37"/>
      <c r="M5" s="37"/>
    </row>
    <row r="6" spans="1:13" ht="30" customHeight="1" x14ac:dyDescent="0.25">
      <c r="A6" s="82">
        <v>2009</v>
      </c>
      <c r="B6" s="82">
        <v>2008</v>
      </c>
      <c r="C6" s="183"/>
      <c r="D6" s="183"/>
      <c r="E6" s="184"/>
      <c r="F6" s="137"/>
      <c r="G6" s="51"/>
      <c r="H6" s="51"/>
      <c r="I6" s="52"/>
      <c r="J6" s="61"/>
      <c r="K6" s="37"/>
      <c r="L6" s="37"/>
      <c r="M6" s="37"/>
    </row>
    <row r="7" spans="1:13" ht="30" customHeight="1" x14ac:dyDescent="0.25">
      <c r="A7" s="82">
        <v>2008</v>
      </c>
      <c r="B7" s="82">
        <v>2007</v>
      </c>
      <c r="C7" s="183"/>
      <c r="D7" s="183"/>
      <c r="E7" s="184"/>
      <c r="F7" s="137"/>
      <c r="G7" s="53"/>
      <c r="H7" s="51"/>
      <c r="I7" s="52"/>
      <c r="J7" s="61"/>
      <c r="K7" s="37"/>
      <c r="L7" s="37"/>
      <c r="M7" s="37"/>
    </row>
    <row r="8" spans="1:13" ht="30" customHeight="1" x14ac:dyDescent="0.25">
      <c r="A8" s="82">
        <v>2007</v>
      </c>
      <c r="B8" s="82">
        <v>2006</v>
      </c>
      <c r="C8" s="183"/>
      <c r="D8" s="183"/>
      <c r="E8" s="184"/>
      <c r="F8" s="137"/>
      <c r="G8" s="51"/>
      <c r="H8" s="51"/>
      <c r="I8" s="52"/>
      <c r="J8" s="54"/>
      <c r="K8" s="37"/>
      <c r="L8" s="37"/>
      <c r="M8" s="37"/>
    </row>
    <row r="9" spans="1:13" ht="30" customHeight="1" x14ac:dyDescent="0.25">
      <c r="A9" s="82">
        <v>2006</v>
      </c>
      <c r="B9" s="82">
        <v>2005</v>
      </c>
      <c r="C9" s="183"/>
      <c r="D9" s="183"/>
      <c r="E9" s="184"/>
      <c r="F9" s="137"/>
      <c r="G9" s="51"/>
      <c r="H9" s="51"/>
      <c r="I9" s="52"/>
      <c r="J9" s="61"/>
      <c r="K9" s="37"/>
      <c r="L9" s="37"/>
      <c r="M9" s="37"/>
    </row>
    <row r="10" spans="1:13" ht="30" customHeight="1" x14ac:dyDescent="0.25">
      <c r="A10" s="82">
        <v>2005</v>
      </c>
      <c r="B10" s="82">
        <v>2004</v>
      </c>
      <c r="C10" s="183"/>
      <c r="D10" s="183"/>
      <c r="E10" s="184"/>
      <c r="F10" s="137"/>
      <c r="G10" s="51"/>
      <c r="H10" s="51"/>
      <c r="I10" s="52"/>
      <c r="J10" s="61"/>
      <c r="K10" s="37"/>
      <c r="L10" s="37"/>
      <c r="M10" s="37"/>
    </row>
    <row r="11" spans="1:13" ht="30" customHeight="1" x14ac:dyDescent="0.25">
      <c r="A11" s="82">
        <v>2004</v>
      </c>
      <c r="B11" s="82">
        <v>2003</v>
      </c>
      <c r="C11" s="183"/>
      <c r="D11" s="183"/>
      <c r="E11" s="184"/>
      <c r="F11" s="137"/>
      <c r="G11" s="51"/>
      <c r="H11" s="51"/>
      <c r="I11" s="52"/>
      <c r="J11" s="61"/>
      <c r="K11" s="37"/>
      <c r="L11" s="37"/>
      <c r="M11" s="37"/>
    </row>
    <row r="12" spans="1:13" ht="30" customHeight="1" x14ac:dyDescent="0.25">
      <c r="A12" s="82">
        <v>2003</v>
      </c>
      <c r="B12" s="82">
        <v>2002</v>
      </c>
      <c r="C12" s="183"/>
      <c r="D12" s="183"/>
      <c r="E12" s="184"/>
      <c r="F12" s="137"/>
      <c r="G12" s="51"/>
      <c r="H12" s="51"/>
      <c r="I12" s="52"/>
      <c r="J12" s="61"/>
      <c r="K12" s="37"/>
      <c r="L12" s="37"/>
      <c r="M12" s="37"/>
    </row>
    <row r="13" spans="1:13" ht="30" customHeight="1" x14ac:dyDescent="0.25">
      <c r="A13" s="82">
        <v>2002</v>
      </c>
      <c r="B13" s="82">
        <v>2001</v>
      </c>
      <c r="C13" s="183"/>
      <c r="D13" s="183"/>
      <c r="E13" s="184"/>
      <c r="F13" s="137"/>
      <c r="G13" s="51"/>
      <c r="H13" s="51"/>
      <c r="I13" s="52"/>
      <c r="J13" s="61"/>
      <c r="K13" s="37"/>
      <c r="L13" s="37"/>
      <c r="M13" s="37"/>
    </row>
    <row r="14" spans="1:13" ht="30" customHeight="1" x14ac:dyDescent="0.25">
      <c r="A14" s="82">
        <v>2001</v>
      </c>
      <c r="B14" s="82">
        <v>2000</v>
      </c>
      <c r="C14" s="130"/>
      <c r="D14" s="130"/>
      <c r="E14" s="184"/>
      <c r="F14" s="137"/>
      <c r="G14" s="51"/>
      <c r="H14" s="51"/>
      <c r="I14" s="52"/>
      <c r="J14" s="36"/>
      <c r="K14" s="37"/>
      <c r="L14" s="37"/>
      <c r="M14" s="37"/>
    </row>
    <row r="15" spans="1:13" ht="30" customHeight="1" x14ac:dyDescent="0.25">
      <c r="A15" s="82">
        <v>2000</v>
      </c>
      <c r="B15" s="82">
        <v>1999</v>
      </c>
      <c r="C15" s="130"/>
      <c r="D15" s="159"/>
      <c r="E15" s="184"/>
      <c r="F15" s="185"/>
      <c r="G15" s="51"/>
      <c r="H15" s="51"/>
      <c r="I15" s="52"/>
      <c r="J15" s="70"/>
      <c r="K15" s="37"/>
      <c r="L15" s="37"/>
      <c r="M15" s="37"/>
    </row>
    <row r="16" spans="1:13" ht="30" customHeight="1" x14ac:dyDescent="0.25">
      <c r="A16" s="82">
        <v>1999</v>
      </c>
      <c r="B16" s="82">
        <v>1998</v>
      </c>
      <c r="C16" s="130"/>
      <c r="D16" s="130"/>
      <c r="E16" s="184"/>
      <c r="F16" s="137"/>
      <c r="G16" s="51"/>
      <c r="H16" s="51"/>
      <c r="I16" s="52"/>
      <c r="J16" s="70"/>
      <c r="K16" s="37"/>
      <c r="L16" s="37"/>
      <c r="M16" s="37"/>
    </row>
    <row r="17" spans="1:13" ht="30" customHeight="1" x14ac:dyDescent="0.25">
      <c r="A17" s="82">
        <v>1998</v>
      </c>
      <c r="B17" s="82">
        <v>1997</v>
      </c>
      <c r="C17" s="140"/>
      <c r="D17" s="140"/>
      <c r="E17" s="184"/>
      <c r="F17" s="137"/>
      <c r="G17" s="51"/>
      <c r="H17" s="51"/>
      <c r="I17" s="52"/>
      <c r="J17" s="70"/>
      <c r="K17" s="37"/>
      <c r="L17" s="37"/>
      <c r="M17" s="37"/>
    </row>
    <row r="18" spans="1:13" ht="30" customHeight="1" x14ac:dyDescent="0.25">
      <c r="A18" s="82">
        <v>1997</v>
      </c>
      <c r="B18" s="82">
        <v>1996</v>
      </c>
      <c r="C18" s="130"/>
      <c r="D18" s="130"/>
      <c r="E18" s="184"/>
      <c r="F18" s="137"/>
      <c r="G18" s="51"/>
      <c r="H18" s="53"/>
      <c r="I18" s="52"/>
      <c r="J18" s="70"/>
      <c r="K18" s="37"/>
      <c r="L18" s="37"/>
      <c r="M18" s="37"/>
    </row>
    <row r="19" spans="1:13" ht="30" customHeight="1" x14ac:dyDescent="0.25">
      <c r="A19" s="82">
        <v>1996</v>
      </c>
      <c r="B19" s="82">
        <v>1995</v>
      </c>
      <c r="C19" s="130"/>
      <c r="D19" s="130"/>
      <c r="E19" s="137"/>
      <c r="F19" s="137"/>
      <c r="G19" s="36"/>
      <c r="H19" s="53"/>
      <c r="I19" s="81"/>
      <c r="J19" s="70"/>
      <c r="K19" s="37"/>
      <c r="L19" s="37"/>
      <c r="M19" s="37"/>
    </row>
    <row r="20" spans="1:13" ht="30" customHeight="1" x14ac:dyDescent="0.25">
      <c r="A20" s="82">
        <v>1995</v>
      </c>
      <c r="B20" s="82">
        <v>1994</v>
      </c>
      <c r="C20" s="130"/>
      <c r="D20" s="140"/>
      <c r="E20" s="139"/>
      <c r="F20" s="139"/>
      <c r="G20" s="71"/>
      <c r="H20" s="53"/>
      <c r="I20" s="81"/>
      <c r="J20" s="70"/>
      <c r="K20" s="37"/>
      <c r="L20" s="37"/>
      <c r="M20" s="37"/>
    </row>
    <row r="21" spans="1:13" ht="30" customHeight="1" x14ac:dyDescent="0.25">
      <c r="A21" s="82">
        <v>1994</v>
      </c>
      <c r="B21" s="82">
        <v>1993</v>
      </c>
      <c r="C21" s="130"/>
      <c r="D21" s="140"/>
      <c r="E21" s="139"/>
      <c r="F21" s="139"/>
      <c r="G21" s="71"/>
      <c r="H21" s="71"/>
      <c r="I21" s="62"/>
      <c r="J21" s="70"/>
      <c r="K21" s="37"/>
      <c r="L21" s="37"/>
      <c r="M21" s="37"/>
    </row>
    <row r="22" spans="1:13" ht="30" customHeight="1" x14ac:dyDescent="0.25">
      <c r="A22" s="82">
        <v>1993</v>
      </c>
      <c r="B22" s="82">
        <v>1992</v>
      </c>
      <c r="C22" s="130"/>
      <c r="D22" s="140"/>
      <c r="E22" s="139"/>
      <c r="F22" s="186"/>
      <c r="G22" s="71"/>
      <c r="H22" s="71"/>
      <c r="I22" s="62"/>
      <c r="J22" s="70"/>
      <c r="K22" s="37"/>
      <c r="L22" s="37"/>
      <c r="M22" s="37"/>
    </row>
    <row r="23" spans="1:13" ht="30" customHeight="1" x14ac:dyDescent="0.25">
      <c r="A23" s="82">
        <v>1992</v>
      </c>
      <c r="B23" s="82">
        <v>1991</v>
      </c>
      <c r="C23" s="130"/>
      <c r="D23" s="140"/>
      <c r="E23" s="139"/>
      <c r="F23" s="186"/>
      <c r="G23" s="144"/>
      <c r="H23" s="144"/>
      <c r="I23" s="62"/>
      <c r="J23" s="145"/>
      <c r="K23" s="37"/>
      <c r="L23" s="37"/>
      <c r="M23" s="37"/>
    </row>
    <row r="24" spans="1:13" ht="30" customHeight="1" x14ac:dyDescent="0.25">
      <c r="A24" s="82">
        <v>1991</v>
      </c>
      <c r="B24" s="82">
        <v>1990</v>
      </c>
      <c r="C24" s="130"/>
      <c r="D24" s="140"/>
      <c r="E24" s="139"/>
      <c r="F24" s="186"/>
      <c r="G24" s="144"/>
      <c r="H24" s="144"/>
      <c r="I24" s="62"/>
      <c r="J24" s="145"/>
      <c r="K24" s="37"/>
      <c r="L24" s="37"/>
      <c r="M24" s="37"/>
    </row>
    <row r="25" spans="1:13" ht="30" customHeight="1" x14ac:dyDescent="0.25">
      <c r="A25" s="82">
        <v>1990</v>
      </c>
      <c r="B25" s="82">
        <v>1989</v>
      </c>
      <c r="C25" s="130"/>
      <c r="D25" s="140"/>
      <c r="E25" s="139"/>
      <c r="F25" s="186"/>
      <c r="G25" s="144"/>
      <c r="H25" s="144"/>
      <c r="I25" s="62"/>
      <c r="J25" s="145"/>
      <c r="K25" s="37"/>
      <c r="L25" s="37"/>
      <c r="M25" s="37"/>
    </row>
    <row r="26" spans="1:13" ht="30" customHeight="1" x14ac:dyDescent="0.25">
      <c r="A26" s="82">
        <v>1989</v>
      </c>
      <c r="B26" s="82">
        <v>1988</v>
      </c>
      <c r="C26" s="130"/>
      <c r="D26" s="140"/>
      <c r="E26" s="139"/>
      <c r="F26" s="186"/>
      <c r="G26" s="144"/>
      <c r="H26" s="144"/>
      <c r="I26" s="62"/>
      <c r="J26" s="145"/>
      <c r="K26" s="37"/>
      <c r="L26" s="37"/>
      <c r="M26" s="37"/>
    </row>
    <row r="27" spans="1:13" ht="30" customHeight="1" x14ac:dyDescent="0.25">
      <c r="A27" s="82">
        <v>1988</v>
      </c>
      <c r="B27" s="82">
        <v>1987</v>
      </c>
      <c r="C27" s="130"/>
      <c r="D27" s="140"/>
      <c r="E27" s="139"/>
      <c r="F27" s="186"/>
      <c r="G27" s="144"/>
      <c r="H27" s="144"/>
      <c r="I27" s="62"/>
      <c r="J27" s="145"/>
      <c r="K27" s="37"/>
      <c r="L27" s="37"/>
      <c r="M27" s="37"/>
    </row>
    <row r="28" spans="1:13" ht="30" customHeight="1" x14ac:dyDescent="0.25">
      <c r="A28" s="82">
        <v>1987</v>
      </c>
      <c r="B28" s="82">
        <v>1986</v>
      </c>
      <c r="C28" s="130"/>
      <c r="D28" s="140"/>
      <c r="E28" s="139"/>
      <c r="F28" s="186"/>
      <c r="G28" s="144"/>
      <c r="H28" s="144"/>
      <c r="I28" s="62"/>
      <c r="J28" s="145"/>
      <c r="K28" s="37"/>
      <c r="L28" s="37"/>
      <c r="M28" s="37"/>
    </row>
    <row r="29" spans="1:13" ht="30" customHeight="1" x14ac:dyDescent="0.25">
      <c r="A29" s="82">
        <v>1986</v>
      </c>
      <c r="B29" s="82">
        <v>1985</v>
      </c>
      <c r="C29" s="130"/>
      <c r="D29" s="140"/>
      <c r="E29" s="139"/>
      <c r="F29" s="186"/>
      <c r="G29" s="144"/>
      <c r="H29" s="144"/>
      <c r="I29" s="62"/>
      <c r="J29" s="145"/>
      <c r="K29" s="37"/>
      <c r="L29" s="37"/>
      <c r="M29" s="37"/>
    </row>
    <row r="30" spans="1:13" ht="30" customHeight="1" x14ac:dyDescent="0.25">
      <c r="A30" s="82">
        <v>1985</v>
      </c>
      <c r="B30" s="82">
        <v>1984</v>
      </c>
      <c r="C30" s="130"/>
      <c r="D30" s="140"/>
      <c r="E30" s="139"/>
      <c r="F30" s="186"/>
      <c r="G30" s="144"/>
      <c r="H30" s="144"/>
      <c r="I30" s="62"/>
      <c r="J30" s="145"/>
      <c r="K30" s="37"/>
      <c r="L30" s="37"/>
      <c r="M30" s="37"/>
    </row>
    <row r="31" spans="1:13" ht="30" customHeight="1" x14ac:dyDescent="0.25">
      <c r="A31" s="82">
        <v>1984</v>
      </c>
      <c r="B31" s="82">
        <v>1983</v>
      </c>
      <c r="C31" s="130"/>
      <c r="D31" s="140"/>
      <c r="E31" s="139"/>
      <c r="F31" s="186"/>
      <c r="G31" s="144"/>
      <c r="H31" s="144"/>
      <c r="I31" s="62"/>
      <c r="J31" s="145"/>
      <c r="K31" s="37"/>
      <c r="L31" s="37"/>
      <c r="M31" s="37"/>
    </row>
    <row r="32" spans="1:13" ht="30" customHeight="1" x14ac:dyDescent="0.25">
      <c r="A32" s="82">
        <v>1983</v>
      </c>
      <c r="B32" s="82">
        <v>1982</v>
      </c>
      <c r="C32" s="130"/>
      <c r="D32" s="140"/>
      <c r="E32" s="139"/>
      <c r="F32" s="186"/>
      <c r="G32" s="144"/>
      <c r="H32" s="144"/>
      <c r="I32" s="62"/>
      <c r="J32" s="145"/>
      <c r="K32" s="37"/>
      <c r="L32" s="37"/>
      <c r="M32" s="37"/>
    </row>
    <row r="33" spans="1:13" ht="30" customHeight="1" x14ac:dyDescent="0.25">
      <c r="A33" s="82">
        <v>1982</v>
      </c>
      <c r="B33" s="82">
        <v>1981</v>
      </c>
      <c r="C33" s="130"/>
      <c r="D33" s="140"/>
      <c r="E33" s="139"/>
      <c r="F33" s="186"/>
      <c r="G33" s="144"/>
      <c r="H33" s="144"/>
      <c r="I33" s="62"/>
      <c r="J33" s="145"/>
      <c r="K33" s="37"/>
      <c r="L33" s="37"/>
      <c r="M33" s="37"/>
    </row>
    <row r="34" spans="1:13" ht="30" customHeight="1" x14ac:dyDescent="0.25">
      <c r="A34" s="82">
        <v>1981</v>
      </c>
      <c r="B34" s="82">
        <v>1980</v>
      </c>
      <c r="C34" s="130"/>
      <c r="D34" s="140"/>
      <c r="E34" s="139"/>
      <c r="F34" s="186"/>
      <c r="G34" s="144"/>
      <c r="H34" s="144"/>
      <c r="I34" s="62"/>
      <c r="J34" s="145"/>
      <c r="K34" s="37"/>
      <c r="L34" s="37"/>
      <c r="M34" s="37"/>
    </row>
    <row r="35" spans="1:13" ht="30" customHeight="1" x14ac:dyDescent="0.25">
      <c r="A35" s="82">
        <v>1980</v>
      </c>
      <c r="B35" s="82">
        <v>1979</v>
      </c>
      <c r="C35" s="130"/>
      <c r="D35" s="140"/>
      <c r="E35" s="139"/>
      <c r="F35" s="186"/>
      <c r="G35" s="144"/>
      <c r="H35" s="144"/>
      <c r="I35" s="62"/>
      <c r="J35" s="145"/>
      <c r="K35" s="37"/>
      <c r="L35" s="37"/>
      <c r="M35" s="37"/>
    </row>
    <row r="36" spans="1:13" ht="30" customHeight="1" x14ac:dyDescent="0.25">
      <c r="A36" s="82">
        <v>1979</v>
      </c>
      <c r="B36" s="82">
        <v>1978</v>
      </c>
      <c r="C36" s="130"/>
      <c r="D36" s="140"/>
      <c r="E36" s="139"/>
      <c r="F36" s="186"/>
      <c r="G36" s="144"/>
      <c r="H36" s="144"/>
      <c r="I36" s="62"/>
      <c r="J36" s="145"/>
      <c r="K36" s="37"/>
      <c r="L36" s="37"/>
      <c r="M36" s="37"/>
    </row>
    <row r="37" spans="1:13" ht="30" customHeight="1" x14ac:dyDescent="0.25">
      <c r="A37" s="82">
        <v>1978</v>
      </c>
      <c r="B37" s="82">
        <v>1977</v>
      </c>
      <c r="C37" s="130"/>
      <c r="D37" s="140"/>
      <c r="E37" s="139"/>
      <c r="F37" s="186"/>
      <c r="G37" s="144"/>
      <c r="H37" s="144"/>
      <c r="I37" s="62"/>
      <c r="J37" s="145"/>
      <c r="K37" s="37"/>
      <c r="L37" s="37"/>
      <c r="M37" s="37"/>
    </row>
    <row r="38" spans="1:13" ht="30" customHeight="1" x14ac:dyDescent="0.25">
      <c r="A38" s="82">
        <v>1977</v>
      </c>
      <c r="B38" s="82">
        <v>1976</v>
      </c>
      <c r="C38" s="140"/>
      <c r="D38" s="140"/>
      <c r="E38" s="186"/>
      <c r="F38" s="186"/>
      <c r="G38" s="144"/>
      <c r="H38" s="144"/>
      <c r="I38" s="62"/>
      <c r="J38" s="145"/>
      <c r="K38" s="37"/>
      <c r="L38" s="37"/>
      <c r="M38" s="37"/>
    </row>
    <row r="39" spans="1:13" ht="30" customHeight="1" x14ac:dyDescent="0.25">
      <c r="A39" s="82">
        <v>1976</v>
      </c>
      <c r="B39" s="82">
        <v>1975</v>
      </c>
      <c r="C39" s="140"/>
      <c r="D39" s="140"/>
      <c r="E39" s="186"/>
      <c r="F39" s="186"/>
      <c r="G39" s="144"/>
      <c r="H39" s="144"/>
      <c r="I39" s="62"/>
      <c r="J39" s="145"/>
      <c r="K39" s="37"/>
      <c r="L39" s="37"/>
      <c r="M39" s="37"/>
    </row>
    <row r="40" spans="1:13" ht="30" customHeight="1" x14ac:dyDescent="0.25">
      <c r="A40" s="82">
        <v>1975</v>
      </c>
      <c r="B40" s="82">
        <v>1974</v>
      </c>
      <c r="C40" s="140"/>
      <c r="D40" s="140"/>
      <c r="E40" s="186"/>
      <c r="F40" s="186"/>
      <c r="G40" s="144"/>
      <c r="H40" s="144"/>
      <c r="I40" s="62"/>
      <c r="J40" s="145"/>
      <c r="K40" s="37"/>
      <c r="L40" s="37"/>
      <c r="M40" s="37"/>
    </row>
    <row r="41" spans="1:13" ht="30" customHeight="1" x14ac:dyDescent="0.25">
      <c r="A41" s="82">
        <v>1974</v>
      </c>
      <c r="B41" s="82">
        <v>1973</v>
      </c>
      <c r="C41" s="140"/>
      <c r="D41" s="140"/>
      <c r="E41" s="186"/>
      <c r="F41" s="186"/>
      <c r="G41" s="144"/>
      <c r="H41" s="144"/>
      <c r="I41" s="62"/>
      <c r="J41" s="145"/>
      <c r="K41" s="37"/>
      <c r="L41" s="37"/>
      <c r="M41" s="37"/>
    </row>
    <row r="42" spans="1:13" ht="30" customHeight="1" x14ac:dyDescent="0.25">
      <c r="A42" s="82">
        <v>1973</v>
      </c>
      <c r="B42" s="82">
        <v>1972</v>
      </c>
      <c r="C42" s="140"/>
      <c r="D42" s="140"/>
      <c r="E42" s="186"/>
      <c r="F42" s="186"/>
      <c r="G42" s="144"/>
      <c r="H42" s="144"/>
      <c r="I42" s="62"/>
      <c r="J42" s="145"/>
      <c r="K42" s="37"/>
      <c r="L42" s="37"/>
      <c r="M42" s="37"/>
    </row>
    <row r="43" spans="1:13" ht="30" customHeight="1" x14ac:dyDescent="0.25">
      <c r="A43" s="82">
        <v>1972</v>
      </c>
      <c r="B43" s="82">
        <v>1971</v>
      </c>
      <c r="C43" s="140"/>
      <c r="D43" s="140"/>
      <c r="E43" s="186"/>
      <c r="F43" s="186"/>
      <c r="G43" s="144"/>
      <c r="H43" s="144"/>
      <c r="I43" s="62"/>
      <c r="J43" s="145"/>
      <c r="K43" s="37"/>
      <c r="L43" s="37"/>
      <c r="M43" s="37"/>
    </row>
    <row r="44" spans="1:13" ht="30" customHeight="1" x14ac:dyDescent="0.25">
      <c r="A44" s="82">
        <v>1971</v>
      </c>
      <c r="B44" s="82">
        <v>1970</v>
      </c>
      <c r="C44" s="187"/>
      <c r="D44" s="187"/>
      <c r="E44" s="188"/>
      <c r="F44" s="188"/>
      <c r="G44" s="123"/>
      <c r="H44" s="123"/>
      <c r="I44" s="121"/>
      <c r="J44" s="124"/>
    </row>
    <row r="45" spans="1:13" ht="30" customHeight="1" x14ac:dyDescent="0.25">
      <c r="A45" s="82">
        <v>1970</v>
      </c>
      <c r="B45" s="82">
        <v>1969</v>
      </c>
      <c r="C45" s="187"/>
      <c r="D45" s="187"/>
      <c r="E45" s="188"/>
      <c r="F45" s="188"/>
      <c r="G45" s="123"/>
      <c r="H45" s="123"/>
      <c r="I45" s="121"/>
      <c r="J45" s="124"/>
    </row>
    <row r="46" spans="1:13" ht="30" customHeight="1" x14ac:dyDescent="0.25">
      <c r="A46" s="82">
        <v>1969</v>
      </c>
      <c r="B46" s="82">
        <v>1968</v>
      </c>
      <c r="C46" s="187"/>
      <c r="D46" s="187"/>
      <c r="E46" s="188"/>
      <c r="F46" s="188"/>
      <c r="G46" s="123"/>
      <c r="H46" s="123"/>
      <c r="I46" s="121"/>
      <c r="J46" s="124"/>
    </row>
    <row r="47" spans="1:13" ht="30" customHeight="1" x14ac:dyDescent="0.25">
      <c r="A47" s="82">
        <v>1968</v>
      </c>
      <c r="B47" s="82">
        <v>1967</v>
      </c>
      <c r="C47" s="187"/>
      <c r="D47" s="187"/>
      <c r="E47" s="188"/>
      <c r="F47" s="188"/>
      <c r="G47" s="123"/>
      <c r="H47" s="123"/>
      <c r="I47" s="121"/>
      <c r="J47" s="124"/>
    </row>
    <row r="48" spans="1:13" ht="30" customHeight="1" x14ac:dyDescent="0.25">
      <c r="A48" s="82">
        <v>1967</v>
      </c>
      <c r="B48" s="82">
        <v>1966</v>
      </c>
      <c r="C48" s="187"/>
      <c r="D48" s="187"/>
      <c r="E48" s="188"/>
      <c r="F48" s="188"/>
      <c r="G48" s="123"/>
      <c r="H48" s="123"/>
      <c r="I48" s="121"/>
      <c r="J48" s="124"/>
    </row>
    <row r="49" spans="1:10" ht="30" customHeight="1" x14ac:dyDescent="0.25">
      <c r="A49" s="82">
        <v>1966</v>
      </c>
      <c r="B49" s="82">
        <v>1965</v>
      </c>
      <c r="C49" s="187"/>
      <c r="D49" s="187"/>
      <c r="E49" s="188"/>
      <c r="F49" s="188"/>
      <c r="G49" s="123"/>
      <c r="H49" s="123"/>
      <c r="I49" s="121"/>
      <c r="J49" s="124"/>
    </row>
    <row r="50" spans="1:10" ht="30" customHeight="1" x14ac:dyDescent="0.25">
      <c r="A50" s="82">
        <v>1965</v>
      </c>
      <c r="B50" s="82">
        <v>1964</v>
      </c>
      <c r="C50" s="187"/>
      <c r="D50" s="187"/>
      <c r="E50" s="188"/>
      <c r="F50" s="188"/>
      <c r="G50" s="123"/>
      <c r="H50" s="123"/>
      <c r="I50" s="121"/>
      <c r="J50" s="124"/>
    </row>
    <row r="51" spans="1:10" ht="30" customHeight="1" x14ac:dyDescent="0.25">
      <c r="A51" s="82">
        <v>1964</v>
      </c>
      <c r="B51" s="82">
        <v>1963</v>
      </c>
      <c r="C51" s="187"/>
      <c r="D51" s="187"/>
      <c r="E51" s="188"/>
      <c r="F51" s="188"/>
      <c r="G51" s="123"/>
      <c r="H51" s="123"/>
      <c r="I51" s="121"/>
      <c r="J51" s="124"/>
    </row>
    <row r="52" spans="1:10" ht="30" customHeight="1" x14ac:dyDescent="0.25">
      <c r="A52" s="82">
        <v>1963</v>
      </c>
      <c r="B52" s="82">
        <v>1962</v>
      </c>
      <c r="C52" s="187"/>
      <c r="D52" s="187"/>
      <c r="E52" s="188"/>
      <c r="F52" s="188"/>
      <c r="G52" s="123"/>
      <c r="H52" s="123"/>
      <c r="I52" s="121"/>
      <c r="J52" s="124"/>
    </row>
    <row r="53" spans="1:10" ht="30" customHeight="1" x14ac:dyDescent="0.25">
      <c r="A53" s="82">
        <v>1962</v>
      </c>
      <c r="B53" s="82">
        <v>1961</v>
      </c>
      <c r="C53" s="187"/>
      <c r="D53" s="187"/>
      <c r="E53" s="188"/>
      <c r="F53" s="188"/>
      <c r="G53" s="123"/>
      <c r="H53" s="123"/>
      <c r="I53" s="121"/>
      <c r="J53" s="124"/>
    </row>
    <row r="54" spans="1:10" ht="30" customHeight="1" x14ac:dyDescent="0.25">
      <c r="A54" s="82">
        <v>1961</v>
      </c>
      <c r="B54" s="82">
        <v>1960</v>
      </c>
      <c r="C54" s="187"/>
      <c r="D54" s="187"/>
      <c r="E54" s="188"/>
      <c r="F54" s="188"/>
      <c r="G54" s="123"/>
      <c r="H54" s="123"/>
      <c r="I54" s="121"/>
      <c r="J54" s="119"/>
    </row>
    <row r="55" spans="1:10" ht="30" customHeight="1" x14ac:dyDescent="0.25">
      <c r="A55" s="82">
        <v>1960</v>
      </c>
      <c r="B55" s="82">
        <v>1959</v>
      </c>
      <c r="C55" s="187"/>
      <c r="D55" s="187"/>
      <c r="E55" s="188"/>
      <c r="F55" s="188"/>
      <c r="G55" s="125"/>
      <c r="H55" s="125"/>
      <c r="I55" s="126"/>
      <c r="J55" s="119"/>
    </row>
    <row r="56" spans="1:10" ht="30" customHeight="1" x14ac:dyDescent="0.25">
      <c r="A56" s="82">
        <v>1959</v>
      </c>
      <c r="B56" s="82">
        <v>1958</v>
      </c>
      <c r="C56" s="187"/>
      <c r="D56" s="187"/>
      <c r="E56" s="188"/>
      <c r="F56" s="188"/>
      <c r="G56" s="125"/>
      <c r="H56" s="125"/>
      <c r="I56" s="127"/>
      <c r="J56" s="119"/>
    </row>
    <row r="57" spans="1:10" ht="30" customHeight="1" x14ac:dyDescent="0.25">
      <c r="A57" s="82">
        <v>1958</v>
      </c>
      <c r="B57" s="82">
        <v>1957</v>
      </c>
      <c r="C57" s="187"/>
      <c r="D57" s="187"/>
      <c r="E57" s="188"/>
      <c r="F57" s="188"/>
      <c r="G57" s="125"/>
      <c r="H57" s="125"/>
      <c r="I57" s="127"/>
      <c r="J57" s="119"/>
    </row>
    <row r="58" spans="1:10" ht="30" customHeight="1" x14ac:dyDescent="0.25">
      <c r="A58" s="82">
        <v>1957</v>
      </c>
      <c r="B58" s="82">
        <v>1956</v>
      </c>
      <c r="C58" s="187"/>
      <c r="D58" s="187"/>
      <c r="E58" s="188"/>
      <c r="F58" s="188"/>
      <c r="G58" s="125"/>
      <c r="H58" s="125"/>
      <c r="I58" s="127"/>
      <c r="J58" s="119"/>
    </row>
    <row r="59" spans="1:10" ht="30" customHeight="1" x14ac:dyDescent="0.25">
      <c r="A59" s="82">
        <v>1956</v>
      </c>
      <c r="B59" s="82">
        <v>1955</v>
      </c>
      <c r="C59" s="187"/>
      <c r="D59" s="187"/>
      <c r="E59" s="188"/>
      <c r="F59" s="188"/>
      <c r="G59" s="125"/>
      <c r="H59" s="125"/>
      <c r="I59" s="127"/>
      <c r="J59" s="119"/>
    </row>
    <row r="60" spans="1:10" ht="30" customHeight="1" x14ac:dyDescent="0.25">
      <c r="A60" s="82">
        <v>1955</v>
      </c>
      <c r="B60" s="82">
        <v>1954</v>
      </c>
      <c r="C60" s="187"/>
      <c r="D60" s="187"/>
      <c r="E60" s="188"/>
      <c r="F60" s="188"/>
      <c r="G60" s="125"/>
      <c r="H60" s="125"/>
      <c r="I60" s="127"/>
      <c r="J60" s="119"/>
    </row>
    <row r="61" spans="1:10" ht="30" customHeight="1" x14ac:dyDescent="0.25">
      <c r="A61" s="82">
        <v>1954</v>
      </c>
      <c r="B61" s="82">
        <v>1953</v>
      </c>
      <c r="C61" s="120"/>
      <c r="D61" s="120"/>
      <c r="E61" s="122"/>
      <c r="F61" s="122"/>
      <c r="G61" s="125"/>
      <c r="H61" s="125"/>
      <c r="I61" s="127"/>
      <c r="J61" s="119"/>
    </row>
    <row r="62" spans="1:10" ht="30" customHeight="1" x14ac:dyDescent="0.25">
      <c r="A62" s="82">
        <v>1953</v>
      </c>
      <c r="B62" s="82">
        <v>1952</v>
      </c>
      <c r="C62" s="120"/>
      <c r="D62" s="120"/>
      <c r="E62" s="122"/>
      <c r="F62" s="122"/>
      <c r="G62" s="125"/>
      <c r="H62" s="125"/>
      <c r="I62" s="127"/>
      <c r="J62" s="119"/>
    </row>
    <row r="63" spans="1:10" ht="30" customHeight="1" x14ac:dyDescent="0.25">
      <c r="A63" s="82">
        <v>1952</v>
      </c>
      <c r="B63" s="82">
        <v>1951</v>
      </c>
      <c r="C63" s="120"/>
      <c r="D63" s="120"/>
      <c r="E63" s="122"/>
      <c r="F63" s="122"/>
      <c r="G63" s="125"/>
      <c r="H63" s="125"/>
      <c r="I63" s="127"/>
      <c r="J63" s="119"/>
    </row>
    <row r="64" spans="1:10" ht="30" customHeight="1" x14ac:dyDescent="0.25">
      <c r="A64" s="82">
        <v>1951</v>
      </c>
      <c r="B64" s="82">
        <v>1950</v>
      </c>
      <c r="C64" s="120"/>
      <c r="D64" s="120"/>
      <c r="E64" s="122"/>
      <c r="F64" s="122"/>
      <c r="G64" s="125"/>
      <c r="H64" s="125"/>
      <c r="I64" s="127"/>
      <c r="J64" s="119"/>
    </row>
    <row r="65" spans="1:10" ht="30" customHeight="1" x14ac:dyDescent="0.25">
      <c r="A65" s="82">
        <v>1950</v>
      </c>
      <c r="B65" s="82">
        <v>1949</v>
      </c>
      <c r="C65" s="120"/>
      <c r="D65" s="120"/>
      <c r="E65" s="122"/>
      <c r="F65" s="122"/>
      <c r="G65" s="125"/>
      <c r="H65" s="125"/>
      <c r="I65" s="127"/>
      <c r="J65" s="119"/>
    </row>
    <row r="66" spans="1:10" ht="30" customHeight="1" x14ac:dyDescent="0.25">
      <c r="A66" s="82">
        <v>1949</v>
      </c>
      <c r="B66" s="82">
        <v>1948</v>
      </c>
      <c r="C66" s="120"/>
      <c r="D66" s="120"/>
      <c r="E66" s="122"/>
      <c r="F66" s="122"/>
      <c r="G66" s="125"/>
      <c r="H66" s="125"/>
      <c r="I66" s="127"/>
      <c r="J66" s="119"/>
    </row>
    <row r="67" spans="1:10" ht="30" customHeight="1" x14ac:dyDescent="0.25">
      <c r="A67" s="82">
        <v>1948</v>
      </c>
      <c r="B67" s="82">
        <v>1947</v>
      </c>
      <c r="C67" s="120"/>
      <c r="D67" s="120"/>
      <c r="E67" s="122"/>
      <c r="F67" s="122"/>
      <c r="G67" s="125"/>
      <c r="H67" s="125"/>
      <c r="I67" s="127"/>
      <c r="J67" s="119"/>
    </row>
    <row r="68" spans="1:10" ht="30" customHeight="1" x14ac:dyDescent="0.25">
      <c r="A68" s="82">
        <v>1947</v>
      </c>
      <c r="B68" s="82">
        <v>1946</v>
      </c>
      <c r="C68" s="120"/>
      <c r="D68" s="120"/>
      <c r="E68" s="122"/>
      <c r="F68" s="122"/>
      <c r="G68" s="125"/>
      <c r="H68" s="125"/>
      <c r="I68" s="127"/>
      <c r="J68" s="124"/>
    </row>
    <row r="69" spans="1:10" ht="30" customHeight="1" x14ac:dyDescent="0.25">
      <c r="A69" s="82">
        <v>1946</v>
      </c>
      <c r="B69" s="82">
        <v>1945</v>
      </c>
      <c r="C69" s="120"/>
      <c r="D69" s="120"/>
      <c r="E69" s="122"/>
      <c r="F69" s="122"/>
      <c r="G69" s="125"/>
      <c r="H69" s="125"/>
      <c r="I69" s="127"/>
      <c r="J69" s="119"/>
    </row>
    <row r="70" spans="1:10" ht="30" customHeight="1" x14ac:dyDescent="0.25">
      <c r="A70" s="82">
        <v>1945</v>
      </c>
      <c r="B70" s="82">
        <v>1944</v>
      </c>
      <c r="C70" s="120"/>
      <c r="D70" s="120"/>
      <c r="E70" s="122"/>
      <c r="F70" s="122"/>
      <c r="G70" s="125"/>
      <c r="H70" s="125"/>
      <c r="I70" s="127"/>
      <c r="J70" s="119"/>
    </row>
    <row r="71" spans="1:10" x14ac:dyDescent="0.25">
      <c r="C71" s="18"/>
      <c r="D71" s="18"/>
      <c r="E71" s="21"/>
      <c r="F71" s="21"/>
      <c r="G71" s="10"/>
      <c r="H71" s="10"/>
      <c r="I71" s="64"/>
      <c r="J71" s="9"/>
    </row>
    <row r="72" spans="1:10" x14ac:dyDescent="0.25">
      <c r="C72" s="18"/>
      <c r="D72" s="18"/>
      <c r="E72" s="21"/>
      <c r="F72" s="21"/>
      <c r="G72" s="10"/>
      <c r="H72" s="10"/>
      <c r="I72" s="64"/>
      <c r="J72" s="9"/>
    </row>
    <row r="73" spans="1:10" x14ac:dyDescent="0.25">
      <c r="C73" s="20"/>
      <c r="D73" s="20"/>
      <c r="E73" s="22"/>
      <c r="F73" s="22"/>
      <c r="G73" s="10"/>
      <c r="H73" s="10"/>
      <c r="I73" s="64"/>
      <c r="J73" s="9"/>
    </row>
    <row r="74" spans="1:10" x14ac:dyDescent="0.25">
      <c r="C74" s="20"/>
      <c r="D74" s="20"/>
      <c r="E74" s="22"/>
      <c r="F74" s="22"/>
      <c r="G74" s="10"/>
      <c r="H74" s="10"/>
      <c r="I74" s="64"/>
      <c r="J74" s="9"/>
    </row>
    <row r="75" spans="1:10" x14ac:dyDescent="0.25">
      <c r="C75" s="20"/>
      <c r="D75" s="20"/>
      <c r="E75" s="22"/>
      <c r="F75" s="22"/>
      <c r="G75" s="10"/>
      <c r="H75" s="10"/>
      <c r="I75" s="64"/>
      <c r="J75" s="9"/>
    </row>
    <row r="76" spans="1:10" x14ac:dyDescent="0.25">
      <c r="C76" s="20"/>
      <c r="D76" s="20"/>
      <c r="E76" s="22"/>
      <c r="F76" s="22"/>
      <c r="G76" s="10"/>
      <c r="H76" s="10"/>
      <c r="I76" s="64"/>
      <c r="J76" s="9"/>
    </row>
    <row r="77" spans="1:10" x14ac:dyDescent="0.25">
      <c r="C77" s="20"/>
      <c r="D77" s="20"/>
      <c r="E77" s="22"/>
      <c r="F77" s="22"/>
      <c r="G77" s="10"/>
      <c r="H77" s="10"/>
      <c r="I77" s="64"/>
      <c r="J77" s="9"/>
    </row>
    <row r="78" spans="1:10" x14ac:dyDescent="0.25">
      <c r="C78" s="20"/>
      <c r="D78" s="20"/>
      <c r="E78" s="22"/>
      <c r="F78" s="22"/>
      <c r="G78" s="10"/>
      <c r="H78" s="10"/>
      <c r="I78" s="64"/>
      <c r="J78" s="9"/>
    </row>
    <row r="79" spans="1:10" x14ac:dyDescent="0.25">
      <c r="C79" s="20"/>
      <c r="D79" s="20"/>
      <c r="E79" s="22"/>
      <c r="F79" s="22"/>
      <c r="G79" s="10"/>
      <c r="H79" s="10"/>
      <c r="I79" s="64"/>
      <c r="J79" s="9"/>
    </row>
    <row r="80" spans="1:10" x14ac:dyDescent="0.25">
      <c r="C80" s="20"/>
      <c r="D80" s="20"/>
      <c r="E80" s="22"/>
      <c r="F80" s="22"/>
      <c r="G80" s="10"/>
      <c r="H80" s="10"/>
      <c r="I80" s="64"/>
      <c r="J80" s="9"/>
    </row>
    <row r="81" spans="1:10" x14ac:dyDescent="0.25">
      <c r="C81" s="20"/>
      <c r="D81" s="20"/>
      <c r="E81" s="22"/>
      <c r="F81" s="22"/>
      <c r="G81" s="10"/>
      <c r="H81" s="10"/>
      <c r="I81" s="64"/>
      <c r="J81" s="9"/>
    </row>
    <row r="82" spans="1:10" x14ac:dyDescent="0.25">
      <c r="C82" s="20"/>
      <c r="D82" s="20"/>
      <c r="E82" s="22"/>
      <c r="F82" s="22"/>
      <c r="G82" s="10"/>
      <c r="H82" s="10"/>
      <c r="I82" s="64"/>
      <c r="J82" s="9"/>
    </row>
    <row r="83" spans="1:10" x14ac:dyDescent="0.25">
      <c r="C83" s="20"/>
      <c r="D83" s="20"/>
      <c r="E83" s="22"/>
      <c r="F83" s="22"/>
      <c r="G83" s="10"/>
      <c r="H83" s="10"/>
      <c r="I83" s="64"/>
      <c r="J83" s="9"/>
    </row>
    <row r="84" spans="1:10" x14ac:dyDescent="0.25">
      <c r="C84" s="20"/>
      <c r="D84" s="20"/>
      <c r="E84" s="22"/>
      <c r="F84" s="22"/>
      <c r="G84" s="10"/>
      <c r="H84" s="10"/>
      <c r="I84" s="64"/>
      <c r="J84" s="9"/>
    </row>
    <row r="85" spans="1:10" x14ac:dyDescent="0.25">
      <c r="C85" s="20"/>
      <c r="D85" s="20"/>
      <c r="E85" s="22"/>
      <c r="F85" s="22"/>
      <c r="G85" s="10"/>
      <c r="H85" s="10"/>
      <c r="I85" s="64"/>
      <c r="J85" s="9"/>
    </row>
    <row r="86" spans="1:10" x14ac:dyDescent="0.25">
      <c r="C86" s="20"/>
      <c r="D86" s="20"/>
      <c r="E86" s="22"/>
      <c r="F86" s="22"/>
      <c r="G86" s="10"/>
      <c r="H86" s="10"/>
      <c r="I86" s="64"/>
      <c r="J86" s="9"/>
    </row>
    <row r="87" spans="1:10" x14ac:dyDescent="0.25">
      <c r="C87" s="20"/>
      <c r="D87" s="20"/>
      <c r="E87" s="22"/>
      <c r="F87" s="22"/>
      <c r="G87" s="10"/>
      <c r="H87" s="10"/>
      <c r="I87" s="64"/>
      <c r="J87" s="9"/>
    </row>
    <row r="88" spans="1:10" x14ac:dyDescent="0.25">
      <c r="A88" s="74"/>
      <c r="B88" s="74"/>
      <c r="C88" s="20"/>
      <c r="D88" s="20"/>
      <c r="E88" s="22"/>
      <c r="F88" s="22"/>
      <c r="G88" s="10"/>
      <c r="H88" s="10"/>
      <c r="I88" s="64"/>
      <c r="J88" s="9"/>
    </row>
    <row r="89" spans="1:10" x14ac:dyDescent="0.25">
      <c r="A89" s="74"/>
      <c r="B89" s="74"/>
      <c r="C89" s="20"/>
      <c r="D89" s="20"/>
      <c r="E89" s="22"/>
      <c r="F89" s="22"/>
      <c r="G89" s="10"/>
      <c r="H89" s="10"/>
      <c r="I89" s="64"/>
      <c r="J89" s="9"/>
    </row>
    <row r="90" spans="1:10" x14ac:dyDescent="0.25">
      <c r="A90" s="74"/>
      <c r="B90" s="74"/>
      <c r="C90" s="20"/>
      <c r="D90" s="20"/>
      <c r="E90" s="22"/>
      <c r="F90" s="22"/>
      <c r="G90" s="10"/>
      <c r="H90" s="10"/>
      <c r="I90" s="64"/>
      <c r="J90" s="9"/>
    </row>
    <row r="91" spans="1:10" x14ac:dyDescent="0.25">
      <c r="A91" s="74"/>
      <c r="B91" s="74"/>
      <c r="C91" s="20"/>
      <c r="D91" s="20"/>
      <c r="E91" s="22"/>
      <c r="F91" s="22"/>
      <c r="G91" s="10"/>
      <c r="H91" s="10"/>
      <c r="I91" s="64"/>
      <c r="J91" s="9"/>
    </row>
    <row r="92" spans="1:10" x14ac:dyDescent="0.25">
      <c r="A92" s="74"/>
      <c r="B92" s="74"/>
      <c r="C92" s="20"/>
      <c r="D92" s="20"/>
      <c r="E92" s="22"/>
      <c r="F92" s="22"/>
      <c r="G92" s="10"/>
      <c r="H92" s="10"/>
      <c r="I92" s="64"/>
      <c r="J92" s="9"/>
    </row>
    <row r="93" spans="1:10" x14ac:dyDescent="0.25">
      <c r="C93" s="20"/>
      <c r="D93" s="20"/>
      <c r="E93" s="22"/>
      <c r="F93" s="22"/>
      <c r="G93" s="13"/>
      <c r="H93" s="13"/>
      <c r="I93" s="64"/>
      <c r="J93" s="9"/>
    </row>
    <row r="94" spans="1:10" x14ac:dyDescent="0.25">
      <c r="C94" s="20"/>
      <c r="D94" s="20"/>
      <c r="E94" s="22"/>
      <c r="F94" s="22"/>
      <c r="G94" s="10"/>
      <c r="H94" s="10"/>
      <c r="I94" s="64"/>
      <c r="J94" s="9"/>
    </row>
    <row r="95" spans="1:10" x14ac:dyDescent="0.25">
      <c r="C95" s="20"/>
      <c r="D95" s="20"/>
      <c r="E95" s="22"/>
      <c r="F95" s="22"/>
      <c r="G95" s="10"/>
      <c r="H95" s="10"/>
      <c r="I95" s="64"/>
      <c r="J95" s="9"/>
    </row>
    <row r="96" spans="1:10" x14ac:dyDescent="0.25">
      <c r="C96" s="20"/>
      <c r="D96" s="20"/>
      <c r="E96" s="22"/>
      <c r="F96" s="22"/>
      <c r="G96" s="10"/>
      <c r="H96" s="10"/>
      <c r="I96" s="64"/>
      <c r="J96" s="9"/>
    </row>
    <row r="97" spans="3:10" x14ac:dyDescent="0.25">
      <c r="C97" s="20"/>
      <c r="D97" s="20"/>
      <c r="E97" s="22"/>
      <c r="F97" s="22"/>
      <c r="G97" s="10"/>
      <c r="H97" s="10"/>
      <c r="I97" s="64"/>
      <c r="J97" s="9"/>
    </row>
    <row r="98" spans="3:10" x14ac:dyDescent="0.25">
      <c r="C98" s="20"/>
      <c r="D98" s="20"/>
      <c r="E98" s="22"/>
      <c r="F98" s="22"/>
      <c r="G98" s="10"/>
      <c r="H98" s="10"/>
      <c r="I98" s="64"/>
      <c r="J98" s="9"/>
    </row>
    <row r="99" spans="3:10" x14ac:dyDescent="0.25">
      <c r="C99" s="20"/>
      <c r="D99" s="20"/>
      <c r="E99" s="22"/>
      <c r="F99" s="22"/>
      <c r="G99" s="10"/>
      <c r="H99" s="10"/>
      <c r="I99" s="64"/>
      <c r="J99" s="9"/>
    </row>
    <row r="100" spans="3:10" x14ac:dyDescent="0.25">
      <c r="C100" s="20"/>
      <c r="D100" s="20"/>
      <c r="E100" s="22"/>
      <c r="F100" s="22"/>
      <c r="G100" s="10"/>
      <c r="H100" s="10"/>
      <c r="I100" s="64"/>
      <c r="J100" s="9"/>
    </row>
    <row r="101" spans="3:10" x14ac:dyDescent="0.25">
      <c r="C101" s="20"/>
      <c r="D101" s="20"/>
      <c r="E101" s="22"/>
      <c r="F101" s="22"/>
      <c r="G101" s="10"/>
      <c r="H101" s="10"/>
      <c r="I101" s="64"/>
      <c r="J101" s="9"/>
    </row>
    <row r="102" spans="3:10" x14ac:dyDescent="0.25">
      <c r="C102" s="20"/>
      <c r="D102" s="20"/>
      <c r="E102" s="22"/>
      <c r="F102" s="22"/>
      <c r="G102" s="10"/>
      <c r="H102" s="10"/>
      <c r="I102" s="64"/>
      <c r="J102" s="9"/>
    </row>
    <row r="103" spans="3:10" x14ac:dyDescent="0.25">
      <c r="C103" s="20"/>
      <c r="D103" s="20"/>
      <c r="E103" s="22"/>
      <c r="F103" s="22"/>
      <c r="G103" s="10"/>
      <c r="H103" s="10"/>
      <c r="I103" s="64"/>
      <c r="J103" s="9"/>
    </row>
    <row r="104" spans="3:10" x14ac:dyDescent="0.25">
      <c r="C104" s="20"/>
      <c r="D104" s="20"/>
      <c r="E104" s="22"/>
      <c r="F104" s="22"/>
      <c r="G104" s="10"/>
      <c r="H104" s="10"/>
      <c r="I104" s="64"/>
      <c r="J104" s="9"/>
    </row>
    <row r="105" spans="3:10" x14ac:dyDescent="0.25">
      <c r="C105" s="20"/>
      <c r="D105" s="20"/>
      <c r="E105" s="22"/>
      <c r="F105" s="22"/>
      <c r="G105" s="10"/>
      <c r="H105" s="10"/>
      <c r="I105" s="64"/>
      <c r="J105" s="9"/>
    </row>
    <row r="106" spans="3:10" x14ac:dyDescent="0.25">
      <c r="C106" s="20"/>
      <c r="D106" s="20"/>
      <c r="E106" s="22"/>
      <c r="F106" s="22"/>
      <c r="G106" s="10"/>
      <c r="H106" s="10"/>
      <c r="I106" s="64"/>
      <c r="J106" s="9"/>
    </row>
    <row r="107" spans="3:10" x14ac:dyDescent="0.25">
      <c r="C107" s="20"/>
      <c r="D107" s="20"/>
      <c r="E107" s="22"/>
      <c r="F107" s="22"/>
      <c r="G107" s="10"/>
      <c r="H107" s="10"/>
      <c r="I107" s="64"/>
      <c r="J107" s="9"/>
    </row>
    <row r="108" spans="3:10" x14ac:dyDescent="0.25">
      <c r="C108" s="20"/>
      <c r="D108" s="20"/>
      <c r="E108" s="22"/>
      <c r="F108" s="22"/>
      <c r="G108" s="10"/>
      <c r="H108" s="10"/>
      <c r="I108" s="64"/>
      <c r="J108" s="9"/>
    </row>
    <row r="109" spans="3:10" x14ac:dyDescent="0.25">
      <c r="C109" s="20"/>
      <c r="D109" s="20"/>
      <c r="E109" s="22"/>
      <c r="F109" s="22"/>
      <c r="G109" s="10"/>
      <c r="H109" s="10"/>
      <c r="I109" s="64"/>
      <c r="J109" s="9"/>
    </row>
    <row r="110" spans="3:10" x14ac:dyDescent="0.25">
      <c r="C110" s="20"/>
      <c r="D110" s="20"/>
      <c r="E110" s="22"/>
      <c r="F110" s="22"/>
      <c r="G110" s="10"/>
      <c r="H110" s="10"/>
      <c r="I110" s="64"/>
      <c r="J110" s="9"/>
    </row>
    <row r="111" spans="3:10" x14ac:dyDescent="0.25">
      <c r="C111" s="20"/>
      <c r="D111" s="20"/>
      <c r="E111" s="22"/>
      <c r="F111" s="22"/>
      <c r="G111" s="10"/>
      <c r="H111" s="10"/>
      <c r="I111" s="64"/>
      <c r="J111" s="9"/>
    </row>
    <row r="112" spans="3:10" x14ac:dyDescent="0.25">
      <c r="C112" s="20"/>
      <c r="D112" s="20"/>
      <c r="E112" s="22"/>
      <c r="F112" s="22"/>
      <c r="G112" s="10"/>
      <c r="H112" s="10"/>
      <c r="I112" s="64"/>
      <c r="J112" s="9"/>
    </row>
    <row r="113" spans="3:10" x14ac:dyDescent="0.25">
      <c r="C113" s="20"/>
      <c r="D113" s="20"/>
      <c r="E113" s="22"/>
      <c r="F113" s="22"/>
      <c r="G113" s="10"/>
      <c r="H113" s="10"/>
      <c r="I113" s="64"/>
      <c r="J113" s="9"/>
    </row>
    <row r="114" spans="3:10" x14ac:dyDescent="0.25">
      <c r="C114" s="20"/>
      <c r="D114" s="20"/>
      <c r="E114" s="22"/>
      <c r="F114" s="22"/>
      <c r="G114" s="10"/>
      <c r="H114" s="10"/>
      <c r="I114" s="64"/>
      <c r="J114" s="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workbookViewId="0">
      <pane xSplit="2" ySplit="2" topLeftCell="C3" activePane="bottomRight" state="frozen"/>
      <selection pane="topRight" activeCell="C1" sqref="C1"/>
      <selection pane="bottomLeft" activeCell="A2" sqref="A2"/>
      <selection pane="bottomRight" activeCell="G9" sqref="G9"/>
    </sheetView>
  </sheetViews>
  <sheetFormatPr baseColWidth="10" defaultColWidth="15.7109375" defaultRowHeight="15" x14ac:dyDescent="0.25"/>
  <cols>
    <col min="1" max="2" width="15.7109375" style="35" customWidth="1"/>
    <col min="3" max="3" width="15.7109375" style="35"/>
    <col min="4" max="4" width="19.85546875" style="35" customWidth="1"/>
    <col min="5" max="5" width="19.140625" style="35" customWidth="1"/>
    <col min="6" max="6" width="18.7109375" style="35" customWidth="1"/>
    <col min="7" max="7" width="91.7109375" style="35" customWidth="1"/>
    <col min="8" max="16384" width="15.7109375" style="35"/>
  </cols>
  <sheetData>
    <row r="1" spans="1:7" hidden="1" x14ac:dyDescent="0.25">
      <c r="A1" s="275" t="s">
        <v>221</v>
      </c>
      <c r="B1" s="274" t="s">
        <v>222</v>
      </c>
      <c r="C1" s="271" t="s">
        <v>125</v>
      </c>
      <c r="D1" s="272" t="s">
        <v>126</v>
      </c>
      <c r="E1" s="272" t="s">
        <v>127</v>
      </c>
      <c r="F1" s="273" t="s">
        <v>194</v>
      </c>
      <c r="G1" s="274" t="s">
        <v>5</v>
      </c>
    </row>
    <row r="2" spans="1:7" ht="80.25" customHeight="1" x14ac:dyDescent="0.25">
      <c r="A2" s="224" t="s">
        <v>221</v>
      </c>
      <c r="B2" s="224" t="s">
        <v>222</v>
      </c>
      <c r="C2" s="269" t="s">
        <v>356</v>
      </c>
      <c r="D2" s="270" t="s">
        <v>357</v>
      </c>
      <c r="E2" s="270" t="s">
        <v>358</v>
      </c>
      <c r="F2" s="269" t="s">
        <v>360</v>
      </c>
      <c r="G2" s="226" t="s">
        <v>5</v>
      </c>
    </row>
    <row r="3" spans="1:7" s="169" customFormat="1" ht="30" customHeight="1" x14ac:dyDescent="0.25">
      <c r="A3" s="227">
        <v>2012</v>
      </c>
      <c r="B3" s="227">
        <v>2011</v>
      </c>
      <c r="C3" s="39">
        <v>4600</v>
      </c>
      <c r="D3" s="40">
        <v>0.4</v>
      </c>
      <c r="E3" s="39">
        <v>1525</v>
      </c>
      <c r="F3" s="194"/>
      <c r="G3" s="301" t="s">
        <v>407</v>
      </c>
    </row>
    <row r="4" spans="1:7" s="72" customFormat="1" ht="30" customHeight="1" x14ac:dyDescent="0.25">
      <c r="A4" s="227">
        <v>2011</v>
      </c>
      <c r="B4" s="227">
        <v>2010</v>
      </c>
      <c r="C4" s="39">
        <v>4600</v>
      </c>
      <c r="D4" s="40">
        <v>0.4</v>
      </c>
      <c r="E4" s="39">
        <v>1525</v>
      </c>
      <c r="F4" s="128"/>
      <c r="G4" s="301"/>
    </row>
    <row r="5" spans="1:7" s="72" customFormat="1" ht="30" customHeight="1" x14ac:dyDescent="0.25">
      <c r="A5" s="227">
        <v>2010</v>
      </c>
      <c r="B5" s="227">
        <v>2009</v>
      </c>
      <c r="C5" s="39">
        <v>4600</v>
      </c>
      <c r="D5" s="40">
        <v>0.4</v>
      </c>
      <c r="E5" s="39">
        <v>1525</v>
      </c>
      <c r="F5" s="39">
        <v>115</v>
      </c>
      <c r="G5" s="301"/>
    </row>
    <row r="6" spans="1:7" s="72" customFormat="1" ht="30" customHeight="1" x14ac:dyDescent="0.25">
      <c r="A6" s="227">
        <v>2009</v>
      </c>
      <c r="B6" s="227">
        <v>2008</v>
      </c>
      <c r="C6" s="39">
        <v>4600</v>
      </c>
      <c r="D6" s="40">
        <v>0.4</v>
      </c>
      <c r="E6" s="39">
        <v>1525</v>
      </c>
      <c r="F6" s="39">
        <v>115</v>
      </c>
      <c r="G6" s="117"/>
    </row>
    <row r="7" spans="1:7" s="72" customFormat="1" ht="30" customHeight="1" x14ac:dyDescent="0.25">
      <c r="A7" s="227">
        <v>2008</v>
      </c>
      <c r="B7" s="227">
        <v>2007</v>
      </c>
      <c r="C7" s="217">
        <v>4600</v>
      </c>
      <c r="D7" s="216">
        <v>0.4</v>
      </c>
      <c r="E7" s="217">
        <v>1525</v>
      </c>
      <c r="F7" s="217">
        <v>115</v>
      </c>
      <c r="G7" s="117"/>
    </row>
    <row r="8" spans="1:7" s="72" customFormat="1" ht="30" customHeight="1" x14ac:dyDescent="0.25">
      <c r="A8" s="227">
        <v>2007</v>
      </c>
      <c r="B8" s="227">
        <v>2006</v>
      </c>
      <c r="C8" s="217">
        <v>4600</v>
      </c>
      <c r="D8" s="216">
        <v>0.4</v>
      </c>
      <c r="E8" s="217">
        <v>1525</v>
      </c>
      <c r="F8" s="217">
        <v>115</v>
      </c>
      <c r="G8" s="54"/>
    </row>
    <row r="9" spans="1:7" s="72" customFormat="1" ht="30" customHeight="1" x14ac:dyDescent="0.25">
      <c r="A9" s="227">
        <v>2006</v>
      </c>
      <c r="B9" s="227">
        <v>2005</v>
      </c>
      <c r="C9" s="217">
        <v>4600</v>
      </c>
      <c r="D9" s="216">
        <v>0.5</v>
      </c>
      <c r="E9" s="217">
        <v>1220</v>
      </c>
      <c r="F9" s="217">
        <v>115</v>
      </c>
      <c r="G9" s="61"/>
    </row>
    <row r="10" spans="1:7" s="72" customFormat="1" ht="30" customHeight="1" x14ac:dyDescent="0.25">
      <c r="A10" s="227">
        <v>2005</v>
      </c>
      <c r="B10" s="227">
        <v>2004</v>
      </c>
      <c r="C10" s="217">
        <v>4600</v>
      </c>
      <c r="D10" s="216">
        <v>0.5</v>
      </c>
      <c r="E10" s="217">
        <v>1220</v>
      </c>
      <c r="F10" s="217">
        <v>115</v>
      </c>
      <c r="G10" s="61"/>
    </row>
    <row r="11" spans="1:7" s="72" customFormat="1" ht="30" customHeight="1" x14ac:dyDescent="0.25">
      <c r="A11" s="227">
        <v>2004</v>
      </c>
      <c r="B11" s="227">
        <v>2003</v>
      </c>
      <c r="C11" s="217">
        <v>4600</v>
      </c>
      <c r="D11" s="216">
        <v>0.5</v>
      </c>
      <c r="E11" s="217">
        <v>1220</v>
      </c>
      <c r="F11" s="215"/>
      <c r="G11" s="61"/>
    </row>
    <row r="12" spans="1:7" s="72" customFormat="1" ht="30" customHeight="1" x14ac:dyDescent="0.25">
      <c r="A12" s="227">
        <v>2003</v>
      </c>
      <c r="B12" s="227">
        <v>2002</v>
      </c>
      <c r="C12" s="217">
        <v>4600</v>
      </c>
      <c r="D12" s="216">
        <v>0.5</v>
      </c>
      <c r="E12" s="217">
        <v>1220</v>
      </c>
      <c r="F12" s="215"/>
      <c r="G12" s="61"/>
    </row>
    <row r="13" spans="1:7" s="72" customFormat="1" ht="30" customHeight="1" x14ac:dyDescent="0.25">
      <c r="A13" s="227">
        <v>2002</v>
      </c>
      <c r="B13" s="227">
        <v>2001</v>
      </c>
      <c r="C13" s="217">
        <v>4600</v>
      </c>
      <c r="D13" s="216">
        <v>0.5</v>
      </c>
      <c r="E13" s="217">
        <v>1220</v>
      </c>
      <c r="F13" s="215"/>
      <c r="G13" s="61"/>
    </row>
    <row r="14" spans="1:7" s="73" customFormat="1" ht="30" customHeight="1" x14ac:dyDescent="0.25">
      <c r="A14" s="227">
        <v>2001</v>
      </c>
      <c r="B14" s="227">
        <v>2000</v>
      </c>
      <c r="C14" s="219">
        <v>30000</v>
      </c>
      <c r="D14" s="216">
        <v>0.5</v>
      </c>
      <c r="E14" s="219">
        <v>8000</v>
      </c>
      <c r="F14" s="221"/>
      <c r="G14" s="220"/>
    </row>
    <row r="15" spans="1:7" s="73" customFormat="1" ht="30" customHeight="1" x14ac:dyDescent="0.25">
      <c r="A15" s="227">
        <v>2000</v>
      </c>
      <c r="B15" s="227">
        <v>1999</v>
      </c>
      <c r="C15" s="219">
        <v>30000</v>
      </c>
      <c r="D15" s="216">
        <v>0.5</v>
      </c>
      <c r="E15" s="219">
        <v>8000</v>
      </c>
      <c r="F15" s="221"/>
      <c r="G15" s="70"/>
    </row>
    <row r="16" spans="1:7" s="73" customFormat="1" ht="30" customHeight="1" x14ac:dyDescent="0.25">
      <c r="A16" s="227">
        <v>1999</v>
      </c>
      <c r="B16" s="227">
        <v>1998</v>
      </c>
      <c r="C16" s="219">
        <v>30000</v>
      </c>
      <c r="D16" s="216">
        <v>0.5</v>
      </c>
      <c r="E16" s="219">
        <v>8000</v>
      </c>
      <c r="F16" s="221"/>
      <c r="G16" s="70"/>
    </row>
    <row r="17" spans="1:7" s="73" customFormat="1" ht="30" customHeight="1" x14ac:dyDescent="0.25">
      <c r="A17" s="227">
        <v>1998</v>
      </c>
      <c r="B17" s="227">
        <v>1997</v>
      </c>
      <c r="C17" s="219">
        <v>30000</v>
      </c>
      <c r="D17" s="216">
        <v>0.5</v>
      </c>
      <c r="E17" s="219">
        <v>8000</v>
      </c>
      <c r="F17" s="221"/>
      <c r="G17" s="79"/>
    </row>
    <row r="18" spans="1:7" s="73" customFormat="1" ht="30" customHeight="1" x14ac:dyDescent="0.25">
      <c r="A18" s="227">
        <v>1997</v>
      </c>
      <c r="B18" s="227">
        <v>1996</v>
      </c>
      <c r="C18" s="231"/>
      <c r="D18" s="216">
        <v>0.5</v>
      </c>
      <c r="E18" s="219">
        <v>8000</v>
      </c>
      <c r="F18" s="221"/>
      <c r="G18" s="70"/>
    </row>
    <row r="19" spans="1:7" s="73" customFormat="1" ht="30" customHeight="1" x14ac:dyDescent="0.25">
      <c r="A19" s="227">
        <v>1996</v>
      </c>
      <c r="B19" s="227">
        <v>1995</v>
      </c>
      <c r="C19" s="231"/>
      <c r="D19" s="216">
        <v>0.5</v>
      </c>
      <c r="E19" s="219">
        <v>8000</v>
      </c>
      <c r="F19" s="221"/>
      <c r="G19" s="70"/>
    </row>
    <row r="20" spans="1:7" s="73" customFormat="1" ht="30" customHeight="1" x14ac:dyDescent="0.25">
      <c r="A20" s="227">
        <v>1995</v>
      </c>
      <c r="B20" s="227">
        <v>1994</v>
      </c>
      <c r="C20" s="231"/>
      <c r="D20" s="216">
        <v>0.5</v>
      </c>
      <c r="E20" s="219">
        <v>8000</v>
      </c>
      <c r="F20" s="221"/>
      <c r="G20" s="70"/>
    </row>
    <row r="21" spans="1:7" ht="30" customHeight="1" x14ac:dyDescent="0.25">
      <c r="A21" s="227">
        <v>1994</v>
      </c>
      <c r="B21" s="227">
        <v>1993</v>
      </c>
      <c r="C21" s="220"/>
      <c r="D21" s="220"/>
      <c r="E21" s="220"/>
      <c r="F21" s="220"/>
      <c r="G21" s="70"/>
    </row>
    <row r="22" spans="1:7" ht="30" customHeight="1" x14ac:dyDescent="0.25">
      <c r="A22" s="227">
        <v>1993</v>
      </c>
      <c r="B22" s="227">
        <v>1992</v>
      </c>
      <c r="C22" s="220"/>
      <c r="D22" s="220"/>
      <c r="E22" s="220"/>
      <c r="F22" s="220"/>
      <c r="G22" s="70"/>
    </row>
    <row r="23" spans="1:7" ht="30" customHeight="1" x14ac:dyDescent="0.25">
      <c r="A23" s="227">
        <v>1992</v>
      </c>
      <c r="B23" s="227">
        <v>1991</v>
      </c>
      <c r="C23" s="220"/>
      <c r="D23" s="220"/>
      <c r="E23" s="220"/>
      <c r="F23" s="220"/>
      <c r="G23" s="220"/>
    </row>
    <row r="24" spans="1:7" ht="30" customHeight="1" x14ac:dyDescent="0.25">
      <c r="A24" s="227">
        <v>1991</v>
      </c>
      <c r="B24" s="227">
        <v>1990</v>
      </c>
      <c r="C24" s="220"/>
      <c r="D24" s="220"/>
      <c r="E24" s="220"/>
      <c r="F24" s="220"/>
      <c r="G24" s="220"/>
    </row>
    <row r="25" spans="1:7" ht="30" customHeight="1" x14ac:dyDescent="0.25">
      <c r="A25" s="227">
        <v>1990</v>
      </c>
      <c r="B25" s="227">
        <v>1989</v>
      </c>
      <c r="C25" s="220"/>
      <c r="D25" s="220"/>
      <c r="E25" s="220"/>
      <c r="F25" s="220"/>
      <c r="G25" s="220"/>
    </row>
    <row r="26" spans="1:7" ht="30" customHeight="1" x14ac:dyDescent="0.25">
      <c r="A26" s="227">
        <v>1989</v>
      </c>
      <c r="B26" s="227">
        <v>1988</v>
      </c>
      <c r="C26" s="220"/>
      <c r="D26" s="220"/>
      <c r="E26" s="220"/>
      <c r="F26" s="220"/>
      <c r="G26" s="220"/>
    </row>
    <row r="27" spans="1:7" ht="30" customHeight="1" x14ac:dyDescent="0.25">
      <c r="A27" s="227">
        <v>1988</v>
      </c>
      <c r="B27" s="227">
        <v>1987</v>
      </c>
      <c r="C27" s="220"/>
      <c r="D27" s="220"/>
      <c r="E27" s="220"/>
      <c r="F27" s="220"/>
      <c r="G27" s="220"/>
    </row>
    <row r="28" spans="1:7" ht="30" customHeight="1" x14ac:dyDescent="0.25">
      <c r="A28" s="227">
        <v>1987</v>
      </c>
      <c r="B28" s="227">
        <v>1986</v>
      </c>
      <c r="C28" s="220"/>
      <c r="D28" s="220"/>
      <c r="E28" s="220"/>
      <c r="F28" s="220"/>
      <c r="G28" s="220"/>
    </row>
    <row r="29" spans="1:7" ht="30" customHeight="1" x14ac:dyDescent="0.25">
      <c r="A29" s="227">
        <v>1986</v>
      </c>
      <c r="B29" s="227">
        <v>1985</v>
      </c>
      <c r="C29" s="220"/>
      <c r="D29" s="220"/>
      <c r="E29" s="220"/>
      <c r="F29" s="220"/>
      <c r="G29" s="220"/>
    </row>
    <row r="30" spans="1:7" ht="30" customHeight="1" x14ac:dyDescent="0.25">
      <c r="A30" s="227">
        <v>1985</v>
      </c>
      <c r="B30" s="227">
        <v>1984</v>
      </c>
      <c r="C30" s="220"/>
      <c r="D30" s="220"/>
      <c r="E30" s="220"/>
      <c r="F30" s="220"/>
      <c r="G30" s="220"/>
    </row>
    <row r="31" spans="1:7" ht="30" customHeight="1" x14ac:dyDescent="0.25">
      <c r="A31" s="227">
        <v>1984</v>
      </c>
      <c r="B31" s="227">
        <v>1983</v>
      </c>
      <c r="C31" s="220"/>
      <c r="D31" s="220"/>
      <c r="E31" s="220"/>
      <c r="F31" s="220"/>
      <c r="G31" s="220"/>
    </row>
    <row r="32" spans="1:7" ht="30" customHeight="1" x14ac:dyDescent="0.25">
      <c r="A32" s="227">
        <v>1983</v>
      </c>
      <c r="B32" s="227">
        <v>1982</v>
      </c>
      <c r="C32" s="220"/>
      <c r="D32" s="220"/>
      <c r="E32" s="220"/>
      <c r="F32" s="220"/>
      <c r="G32" s="220"/>
    </row>
    <row r="33" spans="1:7" ht="30" customHeight="1" x14ac:dyDescent="0.25">
      <c r="A33" s="227">
        <v>1982</v>
      </c>
      <c r="B33" s="227">
        <v>1981</v>
      </c>
      <c r="C33" s="220"/>
      <c r="D33" s="220"/>
      <c r="E33" s="220"/>
      <c r="F33" s="220"/>
      <c r="G33" s="220"/>
    </row>
    <row r="34" spans="1:7" ht="30" customHeight="1" x14ac:dyDescent="0.25">
      <c r="A34" s="227">
        <v>1981</v>
      </c>
      <c r="B34" s="227">
        <v>1980</v>
      </c>
      <c r="C34" s="220"/>
      <c r="D34" s="220"/>
      <c r="E34" s="220"/>
      <c r="F34" s="220"/>
      <c r="G34" s="220"/>
    </row>
    <row r="35" spans="1:7" ht="30" customHeight="1" x14ac:dyDescent="0.25">
      <c r="A35" s="227">
        <v>1980</v>
      </c>
      <c r="B35" s="227">
        <v>1979</v>
      </c>
      <c r="C35" s="220"/>
      <c r="D35" s="220"/>
      <c r="E35" s="220"/>
      <c r="F35" s="220"/>
      <c r="G35" s="220"/>
    </row>
    <row r="36" spans="1:7" ht="30" customHeight="1" x14ac:dyDescent="0.25">
      <c r="A36" s="227">
        <v>1979</v>
      </c>
      <c r="B36" s="227">
        <v>1978</v>
      </c>
      <c r="C36" s="220"/>
      <c r="D36" s="220"/>
      <c r="E36" s="220"/>
      <c r="F36" s="220"/>
      <c r="G36" s="220"/>
    </row>
    <row r="37" spans="1:7" ht="30" customHeight="1" x14ac:dyDescent="0.25">
      <c r="A37" s="227">
        <v>1978</v>
      </c>
      <c r="B37" s="227">
        <v>1977</v>
      </c>
      <c r="C37" s="220"/>
      <c r="D37" s="220"/>
      <c r="E37" s="220"/>
      <c r="F37" s="220"/>
      <c r="G37" s="220"/>
    </row>
    <row r="38" spans="1:7" ht="30" customHeight="1" x14ac:dyDescent="0.25">
      <c r="A38" s="227">
        <v>1977</v>
      </c>
      <c r="B38" s="227">
        <v>1976</v>
      </c>
      <c r="C38" s="220"/>
      <c r="D38" s="220"/>
      <c r="E38" s="220"/>
      <c r="F38" s="220"/>
      <c r="G38" s="220"/>
    </row>
    <row r="39" spans="1:7" ht="30" customHeight="1" x14ac:dyDescent="0.25">
      <c r="A39" s="227">
        <v>1976</v>
      </c>
      <c r="B39" s="227">
        <v>1975</v>
      </c>
      <c r="C39" s="220"/>
      <c r="D39" s="220"/>
      <c r="E39" s="220"/>
      <c r="F39" s="220"/>
      <c r="G39" s="220"/>
    </row>
    <row r="40" spans="1:7" ht="30" customHeight="1" x14ac:dyDescent="0.25">
      <c r="A40" s="227">
        <v>1975</v>
      </c>
      <c r="B40" s="227">
        <v>1974</v>
      </c>
      <c r="C40" s="220"/>
      <c r="D40" s="220"/>
      <c r="E40" s="220"/>
      <c r="F40" s="220"/>
      <c r="G40" s="220"/>
    </row>
    <row r="41" spans="1:7" ht="30" customHeight="1" x14ac:dyDescent="0.25">
      <c r="A41" s="227">
        <v>1974</v>
      </c>
      <c r="B41" s="227">
        <v>1973</v>
      </c>
      <c r="C41" s="220"/>
      <c r="D41" s="220"/>
      <c r="E41" s="220"/>
      <c r="F41" s="220"/>
      <c r="G41" s="220"/>
    </row>
    <row r="42" spans="1:7" ht="30" customHeight="1" x14ac:dyDescent="0.25">
      <c r="A42" s="227">
        <v>1973</v>
      </c>
      <c r="B42" s="227">
        <v>1972</v>
      </c>
      <c r="C42" s="220"/>
      <c r="D42" s="220"/>
      <c r="E42" s="220"/>
      <c r="F42" s="220"/>
      <c r="G42" s="220"/>
    </row>
    <row r="43" spans="1:7" ht="30" customHeight="1" x14ac:dyDescent="0.25">
      <c r="A43" s="227">
        <v>1972</v>
      </c>
      <c r="B43" s="227">
        <v>1971</v>
      </c>
      <c r="C43" s="220"/>
      <c r="D43" s="220"/>
      <c r="E43" s="220"/>
      <c r="F43" s="220"/>
      <c r="G43" s="220"/>
    </row>
    <row r="44" spans="1:7" ht="30" customHeight="1" x14ac:dyDescent="0.25">
      <c r="A44" s="227">
        <v>1971</v>
      </c>
      <c r="B44" s="227">
        <v>1970</v>
      </c>
      <c r="C44" s="220"/>
      <c r="D44" s="220"/>
      <c r="E44" s="220"/>
      <c r="F44" s="220"/>
      <c r="G44" s="220"/>
    </row>
    <row r="45" spans="1:7" ht="30" customHeight="1" x14ac:dyDescent="0.25">
      <c r="A45" s="227">
        <v>1970</v>
      </c>
      <c r="B45" s="227">
        <v>1969</v>
      </c>
      <c r="C45" s="220"/>
      <c r="D45" s="220"/>
      <c r="E45" s="220"/>
      <c r="F45" s="220"/>
      <c r="G45" s="220"/>
    </row>
    <row r="46" spans="1:7" ht="30" customHeight="1" x14ac:dyDescent="0.25">
      <c r="A46" s="227">
        <v>1969</v>
      </c>
      <c r="B46" s="227">
        <v>1968</v>
      </c>
      <c r="C46" s="220"/>
      <c r="D46" s="220"/>
      <c r="E46" s="220"/>
      <c r="F46" s="220"/>
      <c r="G46" s="220"/>
    </row>
    <row r="47" spans="1:7" ht="30" customHeight="1" x14ac:dyDescent="0.25">
      <c r="A47" s="227">
        <v>1968</v>
      </c>
      <c r="B47" s="227">
        <v>1967</v>
      </c>
      <c r="C47" s="220"/>
      <c r="D47" s="220"/>
      <c r="E47" s="220"/>
      <c r="F47" s="220"/>
      <c r="G47" s="220"/>
    </row>
    <row r="48" spans="1:7" ht="30" customHeight="1" x14ac:dyDescent="0.25">
      <c r="A48" s="227">
        <v>1967</v>
      </c>
      <c r="B48" s="227">
        <v>1966</v>
      </c>
      <c r="C48" s="220"/>
      <c r="D48" s="220"/>
      <c r="E48" s="220"/>
      <c r="F48" s="220"/>
      <c r="G48" s="220"/>
    </row>
    <row r="49" spans="1:7" ht="30" customHeight="1" x14ac:dyDescent="0.25">
      <c r="A49" s="227">
        <v>1966</v>
      </c>
      <c r="B49" s="227">
        <v>1965</v>
      </c>
      <c r="C49" s="220"/>
      <c r="D49" s="220"/>
      <c r="E49" s="220"/>
      <c r="F49" s="220"/>
      <c r="G49" s="220"/>
    </row>
    <row r="50" spans="1:7" ht="30" customHeight="1" x14ac:dyDescent="0.25">
      <c r="A50" s="227">
        <v>1965</v>
      </c>
      <c r="B50" s="227">
        <v>1964</v>
      </c>
      <c r="C50" s="220"/>
      <c r="D50" s="220"/>
      <c r="E50" s="220"/>
      <c r="F50" s="220"/>
      <c r="G50" s="220"/>
    </row>
    <row r="51" spans="1:7" ht="30" customHeight="1" x14ac:dyDescent="0.25">
      <c r="A51" s="227">
        <v>1964</v>
      </c>
      <c r="B51" s="227">
        <v>1963</v>
      </c>
      <c r="C51" s="220"/>
      <c r="D51" s="220"/>
      <c r="E51" s="220"/>
      <c r="F51" s="220"/>
      <c r="G51" s="220"/>
    </row>
    <row r="52" spans="1:7" ht="30" customHeight="1" x14ac:dyDescent="0.25">
      <c r="A52" s="227">
        <v>1963</v>
      </c>
      <c r="B52" s="227">
        <v>1962</v>
      </c>
      <c r="C52" s="220"/>
      <c r="D52" s="220"/>
      <c r="E52" s="220"/>
      <c r="F52" s="220"/>
      <c r="G52" s="220"/>
    </row>
    <row r="53" spans="1:7" ht="30" customHeight="1" x14ac:dyDescent="0.25">
      <c r="A53" s="227">
        <v>1962</v>
      </c>
      <c r="B53" s="227">
        <v>1961</v>
      </c>
      <c r="C53" s="220"/>
      <c r="D53" s="220"/>
      <c r="E53" s="220"/>
      <c r="F53" s="220"/>
      <c r="G53" s="220"/>
    </row>
    <row r="54" spans="1:7" ht="30" customHeight="1" x14ac:dyDescent="0.25">
      <c r="A54" s="227">
        <v>1961</v>
      </c>
      <c r="B54" s="227">
        <v>1960</v>
      </c>
      <c r="C54" s="220"/>
      <c r="D54" s="220"/>
      <c r="E54" s="220"/>
      <c r="F54" s="220"/>
      <c r="G54" s="220"/>
    </row>
    <row r="55" spans="1:7" ht="30" customHeight="1" x14ac:dyDescent="0.25">
      <c r="A55" s="227">
        <v>1960</v>
      </c>
      <c r="B55" s="227">
        <v>1959</v>
      </c>
      <c r="C55" s="220"/>
      <c r="D55" s="220"/>
      <c r="E55" s="220"/>
      <c r="F55" s="220"/>
      <c r="G55" s="220"/>
    </row>
    <row r="56" spans="1:7" ht="30" customHeight="1" x14ac:dyDescent="0.25">
      <c r="A56" s="227">
        <v>1959</v>
      </c>
      <c r="B56" s="227">
        <v>1958</v>
      </c>
      <c r="C56" s="220"/>
      <c r="D56" s="220"/>
      <c r="E56" s="220"/>
      <c r="F56" s="220"/>
      <c r="G56" s="220"/>
    </row>
    <row r="57" spans="1:7" ht="30" customHeight="1" x14ac:dyDescent="0.25">
      <c r="A57" s="227">
        <v>1958</v>
      </c>
      <c r="B57" s="227">
        <v>1957</v>
      </c>
      <c r="C57" s="220"/>
      <c r="D57" s="220"/>
      <c r="E57" s="220"/>
      <c r="F57" s="220"/>
      <c r="G57" s="220"/>
    </row>
    <row r="58" spans="1:7" ht="30" customHeight="1" x14ac:dyDescent="0.25">
      <c r="A58" s="227">
        <v>1957</v>
      </c>
      <c r="B58" s="227">
        <v>1956</v>
      </c>
      <c r="C58" s="220"/>
      <c r="D58" s="220"/>
      <c r="E58" s="220"/>
      <c r="F58" s="220"/>
      <c r="G58" s="220"/>
    </row>
    <row r="59" spans="1:7" ht="30" customHeight="1" x14ac:dyDescent="0.25">
      <c r="A59" s="227">
        <v>1956</v>
      </c>
      <c r="B59" s="227">
        <v>1955</v>
      </c>
      <c r="C59" s="220"/>
      <c r="D59" s="220"/>
      <c r="E59" s="220"/>
      <c r="F59" s="220"/>
      <c r="G59" s="220"/>
    </row>
    <row r="60" spans="1:7" ht="30" customHeight="1" x14ac:dyDescent="0.25">
      <c r="A60" s="227">
        <v>1955</v>
      </c>
      <c r="B60" s="227">
        <v>1954</v>
      </c>
      <c r="C60" s="220"/>
      <c r="D60" s="220"/>
      <c r="E60" s="220"/>
      <c r="F60" s="220"/>
      <c r="G60" s="220"/>
    </row>
    <row r="61" spans="1:7" ht="30" customHeight="1" x14ac:dyDescent="0.25">
      <c r="A61" s="227">
        <v>1954</v>
      </c>
      <c r="B61" s="227">
        <v>1953</v>
      </c>
      <c r="C61" s="220"/>
      <c r="D61" s="220"/>
      <c r="E61" s="220"/>
      <c r="F61" s="220"/>
      <c r="G61" s="220"/>
    </row>
    <row r="62" spans="1:7" ht="30" customHeight="1" x14ac:dyDescent="0.25">
      <c r="A62" s="227">
        <v>1953</v>
      </c>
      <c r="B62" s="227">
        <v>1952</v>
      </c>
      <c r="C62" s="220"/>
      <c r="D62" s="220"/>
      <c r="E62" s="220"/>
      <c r="F62" s="220"/>
      <c r="G62" s="220"/>
    </row>
    <row r="63" spans="1:7" ht="30" customHeight="1" x14ac:dyDescent="0.25">
      <c r="A63" s="227">
        <v>1952</v>
      </c>
      <c r="B63" s="227">
        <v>1951</v>
      </c>
      <c r="C63" s="220"/>
      <c r="D63" s="220"/>
      <c r="E63" s="220"/>
      <c r="F63" s="220"/>
      <c r="G63" s="220"/>
    </row>
    <row r="64" spans="1:7" ht="30" customHeight="1" x14ac:dyDescent="0.25">
      <c r="A64" s="227">
        <v>1951</v>
      </c>
      <c r="B64" s="227">
        <v>1950</v>
      </c>
      <c r="C64" s="220"/>
      <c r="D64" s="220"/>
      <c r="E64" s="220"/>
      <c r="F64" s="220"/>
      <c r="G64" s="220"/>
    </row>
    <row r="65" spans="1:7" ht="30" customHeight="1" x14ac:dyDescent="0.25">
      <c r="A65" s="227">
        <v>1950</v>
      </c>
      <c r="B65" s="227">
        <v>1949</v>
      </c>
      <c r="C65" s="220"/>
      <c r="D65" s="220"/>
      <c r="E65" s="220"/>
      <c r="F65" s="220"/>
      <c r="G65" s="220"/>
    </row>
    <row r="66" spans="1:7" ht="30" customHeight="1" x14ac:dyDescent="0.25">
      <c r="A66" s="227">
        <v>1949</v>
      </c>
      <c r="B66" s="227">
        <v>1948</v>
      </c>
      <c r="C66" s="220"/>
      <c r="D66" s="220"/>
      <c r="E66" s="220"/>
      <c r="F66" s="220"/>
      <c r="G66" s="220"/>
    </row>
    <row r="67" spans="1:7" ht="30" customHeight="1" x14ac:dyDescent="0.25">
      <c r="A67" s="227">
        <v>1948</v>
      </c>
      <c r="B67" s="227">
        <v>1947</v>
      </c>
      <c r="C67" s="220"/>
      <c r="D67" s="220"/>
      <c r="E67" s="220"/>
      <c r="F67" s="220"/>
      <c r="G67" s="220"/>
    </row>
    <row r="68" spans="1:7" ht="30" customHeight="1" x14ac:dyDescent="0.25">
      <c r="A68" s="227">
        <v>1947</v>
      </c>
      <c r="B68" s="227">
        <v>1946</v>
      </c>
      <c r="C68" s="220"/>
      <c r="D68" s="220"/>
      <c r="E68" s="220"/>
      <c r="F68" s="220"/>
      <c r="G68" s="220"/>
    </row>
    <row r="69" spans="1:7" ht="30" customHeight="1" x14ac:dyDescent="0.25">
      <c r="A69" s="227">
        <v>1946</v>
      </c>
      <c r="B69" s="227">
        <v>1945</v>
      </c>
      <c r="C69" s="220"/>
      <c r="D69" s="220"/>
      <c r="E69" s="220"/>
      <c r="F69" s="220"/>
      <c r="G69" s="220"/>
    </row>
    <row r="87" spans="1:2" x14ac:dyDescent="0.25">
      <c r="A87" s="74"/>
      <c r="B87" s="74"/>
    </row>
    <row r="88" spans="1:2" x14ac:dyDescent="0.25">
      <c r="A88" s="74"/>
      <c r="B88" s="74"/>
    </row>
    <row r="89" spans="1:2" x14ac:dyDescent="0.25">
      <c r="A89" s="74"/>
      <c r="B89" s="74"/>
    </row>
    <row r="90" spans="1:2" x14ac:dyDescent="0.25">
      <c r="A90" s="74"/>
      <c r="B90" s="74"/>
    </row>
    <row r="91" spans="1:2" x14ac:dyDescent="0.25">
      <c r="A91" s="74"/>
      <c r="B91" s="74"/>
    </row>
  </sheetData>
  <mergeCells count="1">
    <mergeCell ref="G3: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workbookViewId="0">
      <pane xSplit="2" ySplit="2" topLeftCell="I3" activePane="bottomRight" state="frozen"/>
      <selection pane="topRight" activeCell="C1" sqref="C1"/>
      <selection pane="bottomLeft" activeCell="A2" sqref="A2"/>
      <selection pane="bottomRight" activeCell="O9" sqref="O9"/>
    </sheetView>
  </sheetViews>
  <sheetFormatPr baseColWidth="10" defaultColWidth="15.7109375" defaultRowHeight="30" customHeight="1" x14ac:dyDescent="0.25"/>
  <cols>
    <col min="1" max="2" width="15.7109375" style="35" customWidth="1"/>
    <col min="3" max="3" width="17.140625" style="35" customWidth="1"/>
    <col min="4" max="4" width="17.7109375" style="35" customWidth="1"/>
    <col min="5" max="5" width="15.7109375" style="35"/>
    <col min="6" max="6" width="18.5703125" style="35" customWidth="1"/>
    <col min="7" max="7" width="19.140625" style="35" customWidth="1"/>
    <col min="8" max="8" width="15.7109375" style="35"/>
    <col min="9" max="9" width="22.42578125" style="35" customWidth="1"/>
    <col min="10" max="10" width="17" style="35" customWidth="1"/>
    <col min="11" max="11" width="25.42578125" style="35" customWidth="1"/>
    <col min="12" max="12" width="19.28515625" style="35" customWidth="1"/>
    <col min="13" max="13" width="37.42578125" style="35" customWidth="1"/>
    <col min="14" max="14" width="15.7109375" style="35"/>
    <col min="15" max="15" width="85.5703125" style="35" customWidth="1"/>
    <col min="16" max="16384" width="15.7109375" style="35"/>
  </cols>
  <sheetData>
    <row r="1" spans="1:15" ht="19.5" hidden="1" customHeight="1" x14ac:dyDescent="0.25">
      <c r="A1" s="224" t="s">
        <v>221</v>
      </c>
      <c r="B1" s="224" t="s">
        <v>222</v>
      </c>
      <c r="C1" s="104" t="s">
        <v>94</v>
      </c>
      <c r="D1" s="60" t="s">
        <v>95</v>
      </c>
      <c r="E1" s="60" t="s">
        <v>96</v>
      </c>
      <c r="F1" s="60" t="s">
        <v>97</v>
      </c>
      <c r="G1" s="60" t="s">
        <v>98</v>
      </c>
      <c r="H1" s="60" t="s">
        <v>99</v>
      </c>
      <c r="I1" s="104" t="s">
        <v>243</v>
      </c>
      <c r="J1" s="104" t="s">
        <v>110</v>
      </c>
      <c r="K1" s="104" t="s">
        <v>131</v>
      </c>
      <c r="L1" s="104" t="s">
        <v>132</v>
      </c>
      <c r="M1" s="224" t="s">
        <v>3</v>
      </c>
      <c r="N1" s="224" t="s">
        <v>4</v>
      </c>
      <c r="O1" s="226" t="s">
        <v>5</v>
      </c>
    </row>
    <row r="2" spans="1:15" s="68" customFormat="1" ht="79.5" customHeight="1" x14ac:dyDescent="0.25">
      <c r="A2" s="224" t="s">
        <v>221</v>
      </c>
      <c r="B2" s="224" t="s">
        <v>222</v>
      </c>
      <c r="C2" s="276" t="s">
        <v>361</v>
      </c>
      <c r="D2" s="277" t="s">
        <v>362</v>
      </c>
      <c r="E2" s="277" t="s">
        <v>363</v>
      </c>
      <c r="F2" s="277" t="s">
        <v>364</v>
      </c>
      <c r="G2" s="277" t="s">
        <v>366</v>
      </c>
      <c r="H2" s="277" t="s">
        <v>367</v>
      </c>
      <c r="I2" s="276" t="s">
        <v>365</v>
      </c>
      <c r="J2" s="276" t="s">
        <v>359</v>
      </c>
      <c r="K2" s="276" t="s">
        <v>369</v>
      </c>
      <c r="L2" s="276" t="s">
        <v>368</v>
      </c>
      <c r="M2" s="224" t="s">
        <v>3</v>
      </c>
      <c r="N2" s="224" t="s">
        <v>4</v>
      </c>
      <c r="O2" s="226" t="s">
        <v>5</v>
      </c>
    </row>
    <row r="3" spans="1:15" s="169" customFormat="1" ht="30" customHeight="1" x14ac:dyDescent="0.25">
      <c r="A3" s="227">
        <v>2012</v>
      </c>
      <c r="B3" s="227">
        <v>2011</v>
      </c>
      <c r="C3" s="216">
        <v>0.71</v>
      </c>
      <c r="D3" s="216">
        <v>0.5</v>
      </c>
      <c r="E3" s="217">
        <v>305</v>
      </c>
      <c r="F3" s="232">
        <v>81500</v>
      </c>
      <c r="G3" s="232">
        <v>32600</v>
      </c>
      <c r="H3" s="216">
        <f>34%</f>
        <v>0.34</v>
      </c>
      <c r="I3" s="241">
        <f>15000</f>
        <v>15000</v>
      </c>
      <c r="J3" s="216">
        <f t="shared" ref="J3:J8" si="0">30/100</f>
        <v>0.3</v>
      </c>
      <c r="K3" s="39">
        <v>106225</v>
      </c>
      <c r="L3" s="39">
        <v>10700</v>
      </c>
      <c r="M3" s="191"/>
      <c r="N3" s="191"/>
      <c r="O3" s="302" t="s">
        <v>408</v>
      </c>
    </row>
    <row r="4" spans="1:15" s="72" customFormat="1" ht="30" customHeight="1" x14ac:dyDescent="0.25">
      <c r="A4" s="227">
        <v>2011</v>
      </c>
      <c r="B4" s="227">
        <v>2010</v>
      </c>
      <c r="C4" s="216">
        <v>0.71</v>
      </c>
      <c r="D4" s="216">
        <v>0.5</v>
      </c>
      <c r="E4" s="217">
        <v>305</v>
      </c>
      <c r="F4" s="217">
        <v>80300</v>
      </c>
      <c r="G4" s="217">
        <v>32100</v>
      </c>
      <c r="H4" s="216">
        <f>34%</f>
        <v>0.34</v>
      </c>
      <c r="I4" s="217">
        <f>15000</f>
        <v>15000</v>
      </c>
      <c r="J4" s="216">
        <f t="shared" si="0"/>
        <v>0.3</v>
      </c>
      <c r="K4" s="39">
        <v>104665</v>
      </c>
      <c r="L4" s="39">
        <v>10700</v>
      </c>
      <c r="M4" s="51" t="s">
        <v>409</v>
      </c>
      <c r="N4" s="214">
        <v>40542</v>
      </c>
      <c r="O4" s="303"/>
    </row>
    <row r="5" spans="1:15" s="72" customFormat="1" ht="30" customHeight="1" x14ac:dyDescent="0.25">
      <c r="A5" s="227">
        <v>2010</v>
      </c>
      <c r="B5" s="227">
        <v>2009</v>
      </c>
      <c r="C5" s="216">
        <v>0.71</v>
      </c>
      <c r="D5" s="216">
        <v>0.5</v>
      </c>
      <c r="E5" s="217">
        <v>305</v>
      </c>
      <c r="F5" s="217">
        <v>80000</v>
      </c>
      <c r="G5" s="217">
        <v>32000</v>
      </c>
      <c r="H5" s="216">
        <f>34%</f>
        <v>0.34</v>
      </c>
      <c r="I5" s="217">
        <f>15000</f>
        <v>15000</v>
      </c>
      <c r="J5" s="216">
        <f t="shared" si="0"/>
        <v>0.3</v>
      </c>
      <c r="K5" s="39">
        <v>104238</v>
      </c>
      <c r="L5" s="39">
        <v>10700</v>
      </c>
      <c r="M5" s="51" t="s">
        <v>410</v>
      </c>
      <c r="N5" s="214">
        <v>40178</v>
      </c>
      <c r="O5" s="303"/>
    </row>
    <row r="6" spans="1:15" s="72" customFormat="1" ht="30" customHeight="1" thickBot="1" x14ac:dyDescent="0.3">
      <c r="A6" s="227">
        <v>2009</v>
      </c>
      <c r="B6" s="227">
        <v>2008</v>
      </c>
      <c r="C6" s="216">
        <v>0.71</v>
      </c>
      <c r="D6" s="216">
        <v>0.5</v>
      </c>
      <c r="E6" s="217">
        <v>305</v>
      </c>
      <c r="F6" s="217">
        <v>76300</v>
      </c>
      <c r="G6" s="217">
        <v>27000</v>
      </c>
      <c r="H6" s="216">
        <f>34%</f>
        <v>0.34</v>
      </c>
      <c r="I6" s="217">
        <f>15000</f>
        <v>15000</v>
      </c>
      <c r="J6" s="216">
        <f t="shared" si="0"/>
        <v>0.3</v>
      </c>
      <c r="K6" s="39">
        <v>101300</v>
      </c>
      <c r="L6" s="39">
        <v>10700</v>
      </c>
      <c r="M6" s="51" t="s">
        <v>411</v>
      </c>
      <c r="N6" s="214">
        <v>39810</v>
      </c>
      <c r="O6" s="304"/>
    </row>
    <row r="7" spans="1:15" s="72" customFormat="1" ht="30" customHeight="1" x14ac:dyDescent="0.25">
      <c r="A7" s="227">
        <v>2008</v>
      </c>
      <c r="B7" s="227">
        <v>2007</v>
      </c>
      <c r="C7" s="216">
        <v>0.71</v>
      </c>
      <c r="D7" s="216">
        <v>0.5</v>
      </c>
      <c r="E7" s="217">
        <v>305</v>
      </c>
      <c r="F7" s="217">
        <v>76300</v>
      </c>
      <c r="G7" s="217">
        <v>27000</v>
      </c>
      <c r="H7" s="216">
        <f>34%</f>
        <v>0.34</v>
      </c>
      <c r="I7" s="217">
        <v>15000</v>
      </c>
      <c r="J7" s="216">
        <f t="shared" si="0"/>
        <v>0.3</v>
      </c>
      <c r="K7" s="39">
        <v>101300</v>
      </c>
      <c r="L7" s="39">
        <v>10700</v>
      </c>
      <c r="M7" s="51" t="s">
        <v>412</v>
      </c>
      <c r="N7" s="214">
        <v>39443</v>
      </c>
      <c r="O7" s="233"/>
    </row>
    <row r="8" spans="1:15" s="72" customFormat="1" ht="30" customHeight="1" x14ac:dyDescent="0.25">
      <c r="A8" s="227">
        <v>2007</v>
      </c>
      <c r="B8" s="227">
        <v>2006</v>
      </c>
      <c r="C8" s="216">
        <v>0.71</v>
      </c>
      <c r="D8" s="216">
        <v>0.5</v>
      </c>
      <c r="E8" s="217">
        <v>305</v>
      </c>
      <c r="F8" s="217">
        <v>76300</v>
      </c>
      <c r="G8" s="217">
        <v>27000</v>
      </c>
      <c r="H8" s="216">
        <f>34%</f>
        <v>0.34</v>
      </c>
      <c r="I8" s="217">
        <v>15000</v>
      </c>
      <c r="J8" s="216">
        <f t="shared" si="0"/>
        <v>0.3</v>
      </c>
      <c r="K8" s="39">
        <v>100000</v>
      </c>
      <c r="L8" s="39">
        <v>10700</v>
      </c>
      <c r="M8" s="51" t="s">
        <v>413</v>
      </c>
      <c r="N8" s="214">
        <f>27/12/2006</f>
        <v>1.1216350947158525E-3</v>
      </c>
      <c r="O8" s="233"/>
    </row>
    <row r="9" spans="1:15" s="72" customFormat="1" ht="30" customHeight="1" x14ac:dyDescent="0.25">
      <c r="A9" s="227">
        <v>2006</v>
      </c>
      <c r="B9" s="227">
        <v>2005</v>
      </c>
      <c r="C9" s="216">
        <v>0.72</v>
      </c>
      <c r="D9" s="216">
        <v>0.52</v>
      </c>
      <c r="E9" s="217">
        <v>305</v>
      </c>
      <c r="F9" s="217">
        <v>76300</v>
      </c>
      <c r="G9" s="217">
        <v>27000</v>
      </c>
      <c r="H9" s="216">
        <v>0.37</v>
      </c>
      <c r="I9" s="217">
        <v>15000</v>
      </c>
      <c r="J9" s="216">
        <v>0.4</v>
      </c>
      <c r="K9" s="39">
        <v>60000</v>
      </c>
      <c r="L9" s="39">
        <v>10700</v>
      </c>
      <c r="M9" s="51" t="s">
        <v>414</v>
      </c>
      <c r="N9" s="214">
        <v>38717</v>
      </c>
      <c r="O9" s="233"/>
    </row>
    <row r="10" spans="1:15" s="72" customFormat="1" ht="30" customHeight="1" x14ac:dyDescent="0.25">
      <c r="A10" s="227">
        <v>2005</v>
      </c>
      <c r="B10" s="227">
        <v>2004</v>
      </c>
      <c r="C10" s="216">
        <v>0.72</v>
      </c>
      <c r="D10" s="216">
        <v>0.52</v>
      </c>
      <c r="E10" s="217">
        <v>305</v>
      </c>
      <c r="F10" s="217">
        <v>76300</v>
      </c>
      <c r="G10" s="217">
        <v>27000</v>
      </c>
      <c r="H10" s="216">
        <v>0.37</v>
      </c>
      <c r="I10" s="217">
        <v>15000</v>
      </c>
      <c r="J10" s="216">
        <f t="shared" ref="J10:J15" si="1">40/100</f>
        <v>0.4</v>
      </c>
      <c r="K10" s="39">
        <v>60000</v>
      </c>
      <c r="L10" s="39">
        <v>10700</v>
      </c>
      <c r="M10" s="51" t="s">
        <v>415</v>
      </c>
      <c r="N10" s="214">
        <v>38352</v>
      </c>
      <c r="O10" s="233"/>
    </row>
    <row r="11" spans="1:15" s="72" customFormat="1" ht="30" customHeight="1" x14ac:dyDescent="0.25">
      <c r="A11" s="227">
        <v>2004</v>
      </c>
      <c r="B11" s="227">
        <v>2003</v>
      </c>
      <c r="C11" s="150">
        <v>0.72</v>
      </c>
      <c r="D11" s="150">
        <v>0.52</v>
      </c>
      <c r="E11" s="151">
        <v>305</v>
      </c>
      <c r="F11" s="151">
        <v>76300</v>
      </c>
      <c r="G11" s="151">
        <v>27000</v>
      </c>
      <c r="H11" s="150">
        <v>0.37</v>
      </c>
      <c r="I11" s="39">
        <v>15000</v>
      </c>
      <c r="J11" s="40">
        <f t="shared" si="1"/>
        <v>0.4</v>
      </c>
      <c r="K11" s="39">
        <v>53360</v>
      </c>
      <c r="L11" s="39">
        <v>10700</v>
      </c>
      <c r="M11" s="51" t="s">
        <v>416</v>
      </c>
      <c r="N11" s="214">
        <v>37986</v>
      </c>
      <c r="O11" s="233"/>
    </row>
    <row r="12" spans="1:15" s="72" customFormat="1" ht="30" customHeight="1" x14ac:dyDescent="0.25">
      <c r="A12" s="227">
        <v>2003</v>
      </c>
      <c r="B12" s="227">
        <v>2002</v>
      </c>
      <c r="C12" s="150">
        <v>0.72</v>
      </c>
      <c r="D12" s="150">
        <v>0.52</v>
      </c>
      <c r="E12" s="151">
        <v>305</v>
      </c>
      <c r="F12" s="151">
        <v>76300</v>
      </c>
      <c r="G12" s="151">
        <v>27000</v>
      </c>
      <c r="H12" s="150">
        <v>0.37</v>
      </c>
      <c r="I12" s="39">
        <v>15000</v>
      </c>
      <c r="J12" s="40">
        <f t="shared" si="1"/>
        <v>0.4</v>
      </c>
      <c r="K12" s="39">
        <v>53360</v>
      </c>
      <c r="L12" s="39">
        <v>10700</v>
      </c>
      <c r="M12" s="51" t="s">
        <v>417</v>
      </c>
      <c r="N12" s="214">
        <v>37621</v>
      </c>
      <c r="O12" s="218"/>
    </row>
    <row r="13" spans="1:15" s="73" customFormat="1" ht="30" customHeight="1" x14ac:dyDescent="0.25">
      <c r="A13" s="227">
        <v>2002</v>
      </c>
      <c r="B13" s="227">
        <v>2001</v>
      </c>
      <c r="C13" s="216">
        <v>0.7</v>
      </c>
      <c r="D13" s="216">
        <v>0.5</v>
      </c>
      <c r="E13" s="217">
        <v>305</v>
      </c>
      <c r="F13" s="217">
        <v>76224.509999999995</v>
      </c>
      <c r="G13" s="217">
        <v>26678.58</v>
      </c>
      <c r="H13" s="216">
        <v>0.35</v>
      </c>
      <c r="I13" s="217">
        <v>15000</v>
      </c>
      <c r="J13" s="216">
        <f t="shared" si="1"/>
        <v>0.4</v>
      </c>
      <c r="K13" s="39">
        <v>53360</v>
      </c>
      <c r="L13" s="39">
        <f>10700</f>
        <v>10700</v>
      </c>
      <c r="M13" s="51" t="s">
        <v>232</v>
      </c>
      <c r="N13" s="214">
        <v>37254</v>
      </c>
      <c r="O13" s="233"/>
    </row>
    <row r="14" spans="1:15" s="73" customFormat="1" ht="30" customHeight="1" x14ac:dyDescent="0.25">
      <c r="A14" s="227">
        <v>2001</v>
      </c>
      <c r="B14" s="227">
        <v>2000</v>
      </c>
      <c r="C14" s="216">
        <v>0.7</v>
      </c>
      <c r="D14" s="216">
        <v>0.5</v>
      </c>
      <c r="E14" s="219">
        <v>2000</v>
      </c>
      <c r="F14" s="219">
        <v>500000</v>
      </c>
      <c r="G14" s="219">
        <v>175000</v>
      </c>
      <c r="H14" s="216">
        <v>0.35</v>
      </c>
      <c r="I14" s="219">
        <v>60000</v>
      </c>
      <c r="J14" s="216">
        <f t="shared" si="1"/>
        <v>0.4</v>
      </c>
      <c r="K14" s="44">
        <v>350000</v>
      </c>
      <c r="L14" s="44">
        <f t="shared" ref="L14:L19" si="2">70000</f>
        <v>70000</v>
      </c>
      <c r="M14" s="51" t="s">
        <v>418</v>
      </c>
      <c r="N14" s="214">
        <v>36891</v>
      </c>
      <c r="O14" s="233"/>
    </row>
    <row r="15" spans="1:15" s="73" customFormat="1" ht="30" customHeight="1" x14ac:dyDescent="0.25">
      <c r="A15" s="227">
        <v>2000</v>
      </c>
      <c r="B15" s="227">
        <v>1999</v>
      </c>
      <c r="C15" s="216">
        <v>0.7</v>
      </c>
      <c r="D15" s="216">
        <v>0.5</v>
      </c>
      <c r="E15" s="219">
        <v>2000</v>
      </c>
      <c r="F15" s="219">
        <v>500000</v>
      </c>
      <c r="G15" s="219">
        <v>175000</v>
      </c>
      <c r="H15" s="216">
        <v>0.35</v>
      </c>
      <c r="I15" s="219">
        <v>60000</v>
      </c>
      <c r="J15" s="216">
        <f t="shared" si="1"/>
        <v>0.4</v>
      </c>
      <c r="K15" s="44">
        <v>200000</v>
      </c>
      <c r="L15" s="44">
        <f t="shared" si="2"/>
        <v>70000</v>
      </c>
      <c r="M15" s="51" t="s">
        <v>419</v>
      </c>
      <c r="N15" s="214">
        <v>36525</v>
      </c>
      <c r="O15" s="234" t="s">
        <v>134</v>
      </c>
    </row>
    <row r="16" spans="1:15" s="73" customFormat="1" ht="30" customHeight="1" x14ac:dyDescent="0.25">
      <c r="A16" s="227">
        <v>1999</v>
      </c>
      <c r="B16" s="227">
        <v>1998</v>
      </c>
      <c r="C16" s="216">
        <v>0.5</v>
      </c>
      <c r="D16" s="216">
        <v>0.5</v>
      </c>
      <c r="E16" s="219">
        <v>2000</v>
      </c>
      <c r="F16" s="219">
        <v>100000</v>
      </c>
      <c r="G16" s="219">
        <v>100000</v>
      </c>
      <c r="H16" s="216">
        <v>0.25</v>
      </c>
      <c r="I16" s="219">
        <v>30000</v>
      </c>
      <c r="J16" s="216">
        <f>0.333333333333333*100%</f>
        <v>0.33333333333333298</v>
      </c>
      <c r="K16" s="44">
        <v>200000</v>
      </c>
      <c r="L16" s="44">
        <f t="shared" si="2"/>
        <v>70000</v>
      </c>
      <c r="M16" s="51" t="s">
        <v>420</v>
      </c>
      <c r="N16" s="214">
        <v>36160</v>
      </c>
      <c r="O16" s="278" t="s">
        <v>370</v>
      </c>
    </row>
    <row r="17" spans="1:15" s="73" customFormat="1" ht="30" customHeight="1" x14ac:dyDescent="0.25">
      <c r="A17" s="227">
        <v>1998</v>
      </c>
      <c r="B17" s="227">
        <v>1997</v>
      </c>
      <c r="C17" s="216">
        <v>0.5</v>
      </c>
      <c r="D17" s="216">
        <v>0.5</v>
      </c>
      <c r="E17" s="219">
        <v>2000</v>
      </c>
      <c r="F17" s="219">
        <v>100000</v>
      </c>
      <c r="G17" s="219">
        <v>100000</v>
      </c>
      <c r="H17" s="216">
        <v>0.25</v>
      </c>
      <c r="I17" s="219">
        <v>30000</v>
      </c>
      <c r="J17" s="216">
        <f t="shared" ref="J17" si="3">0.333333333333333*100%</f>
        <v>0.33333333333333298</v>
      </c>
      <c r="K17" s="44">
        <v>200000</v>
      </c>
      <c r="L17" s="44">
        <f t="shared" si="2"/>
        <v>70000</v>
      </c>
      <c r="M17" s="51" t="s">
        <v>421</v>
      </c>
      <c r="N17" s="214">
        <v>35795</v>
      </c>
      <c r="O17" s="233" t="s">
        <v>133</v>
      </c>
    </row>
    <row r="18" spans="1:15" s="73" customFormat="1" ht="30" customHeight="1" x14ac:dyDescent="0.25">
      <c r="A18" s="227">
        <v>1997</v>
      </c>
      <c r="B18" s="227">
        <v>1996</v>
      </c>
      <c r="C18" s="216">
        <v>0.5</v>
      </c>
      <c r="D18" s="216">
        <v>0.5</v>
      </c>
      <c r="E18" s="219">
        <v>2000</v>
      </c>
      <c r="F18" s="219">
        <v>100000</v>
      </c>
      <c r="G18" s="219">
        <v>100000</v>
      </c>
      <c r="H18" s="216">
        <v>0.25</v>
      </c>
      <c r="I18" s="221"/>
      <c r="J18" s="231"/>
      <c r="K18" s="44">
        <v>200000</v>
      </c>
      <c r="L18" s="44">
        <f t="shared" si="2"/>
        <v>70000</v>
      </c>
      <c r="M18" s="53" t="s">
        <v>422</v>
      </c>
      <c r="N18" s="214">
        <v>35430</v>
      </c>
      <c r="O18" s="233"/>
    </row>
    <row r="19" spans="1:15" s="73" customFormat="1" ht="30" customHeight="1" x14ac:dyDescent="0.25">
      <c r="A19" s="227">
        <v>1996</v>
      </c>
      <c r="B19" s="227">
        <v>1995</v>
      </c>
      <c r="C19" s="216">
        <v>0.5</v>
      </c>
      <c r="D19" s="216">
        <v>0.5</v>
      </c>
      <c r="E19" s="219">
        <v>2000</v>
      </c>
      <c r="F19" s="219">
        <v>70000</v>
      </c>
      <c r="G19" s="219">
        <v>70000</v>
      </c>
      <c r="H19" s="216">
        <v>0.25</v>
      </c>
      <c r="I19" s="221"/>
      <c r="J19" s="231"/>
      <c r="K19" s="44">
        <v>200000</v>
      </c>
      <c r="L19" s="44">
        <f t="shared" si="2"/>
        <v>70000</v>
      </c>
      <c r="M19" s="53" t="s">
        <v>423</v>
      </c>
      <c r="N19" s="222">
        <v>35064</v>
      </c>
      <c r="O19" s="233"/>
    </row>
    <row r="20" spans="1:15" ht="30" customHeight="1" x14ac:dyDescent="0.25">
      <c r="A20" s="227">
        <v>1995</v>
      </c>
      <c r="B20" s="227">
        <v>1994</v>
      </c>
      <c r="C20" s="216">
        <v>0.5</v>
      </c>
      <c r="D20" s="216">
        <v>0.5</v>
      </c>
      <c r="E20" s="219">
        <v>2000</v>
      </c>
      <c r="F20" s="219">
        <v>70000</v>
      </c>
      <c r="G20" s="219">
        <v>70000</v>
      </c>
      <c r="H20" s="216">
        <v>0.25</v>
      </c>
      <c r="I20" s="221"/>
      <c r="J20" s="231"/>
      <c r="K20" s="44">
        <v>150000</v>
      </c>
      <c r="L20" s="44">
        <f>50000</f>
        <v>50000</v>
      </c>
      <c r="M20" s="53" t="s">
        <v>424</v>
      </c>
      <c r="N20" s="222">
        <v>34698</v>
      </c>
      <c r="O20" s="233"/>
    </row>
    <row r="21" spans="1:15" ht="30" customHeight="1" x14ac:dyDescent="0.25">
      <c r="A21" s="227">
        <v>1994</v>
      </c>
      <c r="B21" s="227">
        <v>1993</v>
      </c>
      <c r="C21" s="216"/>
      <c r="D21" s="216"/>
      <c r="E21" s="220"/>
      <c r="F21" s="220"/>
      <c r="G21" s="220"/>
      <c r="H21" s="216"/>
      <c r="I21" s="235"/>
      <c r="J21" s="236"/>
      <c r="K21" s="236"/>
      <c r="L21" s="236"/>
      <c r="M21" s="233"/>
      <c r="N21" s="233"/>
      <c r="O21" s="233"/>
    </row>
    <row r="22" spans="1:15" ht="30" customHeight="1" x14ac:dyDescent="0.25">
      <c r="A22" s="227">
        <v>1993</v>
      </c>
      <c r="B22" s="227">
        <v>1992</v>
      </c>
      <c r="C22" s="220"/>
      <c r="D22" s="220"/>
      <c r="E22" s="220"/>
      <c r="F22" s="220"/>
      <c r="G22" s="220"/>
      <c r="H22" s="220"/>
      <c r="I22" s="220"/>
      <c r="J22" s="220"/>
      <c r="K22" s="220"/>
      <c r="L22" s="220"/>
      <c r="M22" s="220"/>
      <c r="N22" s="220"/>
      <c r="O22" s="220"/>
    </row>
    <row r="23" spans="1:15" ht="30" customHeight="1" x14ac:dyDescent="0.25">
      <c r="A23" s="227">
        <v>1992</v>
      </c>
      <c r="B23" s="227">
        <v>1991</v>
      </c>
      <c r="C23" s="220"/>
      <c r="D23" s="220"/>
      <c r="E23" s="220"/>
      <c r="F23" s="220"/>
      <c r="G23" s="220"/>
      <c r="H23" s="220"/>
      <c r="I23" s="220"/>
      <c r="J23" s="220"/>
      <c r="K23" s="220"/>
      <c r="L23" s="220"/>
      <c r="M23" s="220"/>
      <c r="N23" s="220"/>
      <c r="O23" s="220"/>
    </row>
    <row r="24" spans="1:15" ht="30" customHeight="1" x14ac:dyDescent="0.25">
      <c r="A24" s="227">
        <v>1991</v>
      </c>
      <c r="B24" s="227">
        <v>1990</v>
      </c>
      <c r="C24" s="220"/>
      <c r="D24" s="220"/>
      <c r="E24" s="220"/>
      <c r="F24" s="220"/>
      <c r="G24" s="220"/>
      <c r="H24" s="220"/>
      <c r="I24" s="220"/>
      <c r="J24" s="220"/>
      <c r="K24" s="220"/>
      <c r="L24" s="220"/>
      <c r="M24" s="220"/>
      <c r="N24" s="220"/>
      <c r="O24" s="220"/>
    </row>
    <row r="25" spans="1:15" ht="30" customHeight="1" x14ac:dyDescent="0.25">
      <c r="A25" s="227">
        <v>1990</v>
      </c>
      <c r="B25" s="227">
        <v>1989</v>
      </c>
      <c r="C25" s="220"/>
      <c r="D25" s="220"/>
      <c r="E25" s="220"/>
      <c r="F25" s="220"/>
      <c r="G25" s="220"/>
      <c r="H25" s="220"/>
      <c r="I25" s="220"/>
      <c r="J25" s="220"/>
      <c r="K25" s="220"/>
      <c r="L25" s="220"/>
      <c r="M25" s="220"/>
      <c r="N25" s="220"/>
      <c r="O25" s="220"/>
    </row>
    <row r="26" spans="1:15" ht="30" customHeight="1" x14ac:dyDescent="0.25">
      <c r="A26" s="227">
        <v>1989</v>
      </c>
      <c r="B26" s="227">
        <v>1988</v>
      </c>
      <c r="C26" s="220"/>
      <c r="D26" s="220"/>
      <c r="E26" s="220"/>
      <c r="F26" s="220"/>
      <c r="G26" s="220"/>
      <c r="H26" s="220"/>
      <c r="I26" s="220"/>
      <c r="J26" s="220"/>
      <c r="K26" s="220"/>
      <c r="L26" s="220"/>
      <c r="M26" s="220"/>
      <c r="N26" s="220"/>
      <c r="O26" s="220"/>
    </row>
    <row r="27" spans="1:15" ht="30" customHeight="1" x14ac:dyDescent="0.25">
      <c r="A27" s="227">
        <v>1988</v>
      </c>
      <c r="B27" s="227">
        <v>1987</v>
      </c>
      <c r="C27" s="220"/>
      <c r="D27" s="220"/>
      <c r="E27" s="220"/>
      <c r="F27" s="220"/>
      <c r="G27" s="220"/>
      <c r="H27" s="220"/>
      <c r="I27" s="220"/>
      <c r="J27" s="220"/>
      <c r="K27" s="220"/>
      <c r="L27" s="220"/>
      <c r="M27" s="220"/>
      <c r="N27" s="220"/>
      <c r="O27" s="220"/>
    </row>
    <row r="28" spans="1:15" ht="30" customHeight="1" x14ac:dyDescent="0.25">
      <c r="A28" s="227">
        <v>1987</v>
      </c>
      <c r="B28" s="227">
        <v>1986</v>
      </c>
      <c r="C28" s="220"/>
      <c r="D28" s="220"/>
      <c r="E28" s="220"/>
      <c r="F28" s="220"/>
      <c r="G28" s="220"/>
      <c r="H28" s="220"/>
      <c r="I28" s="220"/>
      <c r="J28" s="220"/>
      <c r="K28" s="220"/>
      <c r="L28" s="220"/>
      <c r="M28" s="220"/>
      <c r="N28" s="220"/>
      <c r="O28" s="220"/>
    </row>
    <row r="29" spans="1:15" ht="30" customHeight="1" x14ac:dyDescent="0.25">
      <c r="A29" s="227">
        <v>1986</v>
      </c>
      <c r="B29" s="227">
        <v>1985</v>
      </c>
      <c r="C29" s="220"/>
      <c r="D29" s="220"/>
      <c r="E29" s="220"/>
      <c r="F29" s="220"/>
      <c r="G29" s="220"/>
      <c r="H29" s="220"/>
      <c r="I29" s="220"/>
      <c r="J29" s="220"/>
      <c r="K29" s="220"/>
      <c r="L29" s="220"/>
      <c r="M29" s="220"/>
      <c r="N29" s="220"/>
      <c r="O29" s="220"/>
    </row>
    <row r="30" spans="1:15" ht="30" customHeight="1" x14ac:dyDescent="0.25">
      <c r="A30" s="227">
        <v>1985</v>
      </c>
      <c r="B30" s="227">
        <v>1984</v>
      </c>
      <c r="C30" s="220"/>
      <c r="D30" s="220"/>
      <c r="E30" s="220"/>
      <c r="F30" s="220"/>
      <c r="G30" s="220"/>
      <c r="H30" s="220"/>
      <c r="I30" s="220"/>
      <c r="J30" s="220"/>
      <c r="K30" s="220"/>
      <c r="L30" s="220"/>
      <c r="M30" s="220"/>
      <c r="N30" s="220"/>
      <c r="O30" s="220"/>
    </row>
    <row r="31" spans="1:15" ht="30" customHeight="1" x14ac:dyDescent="0.25">
      <c r="A31" s="227">
        <v>1984</v>
      </c>
      <c r="B31" s="227">
        <v>1983</v>
      </c>
      <c r="C31" s="220"/>
      <c r="D31" s="220"/>
      <c r="E31" s="220"/>
      <c r="F31" s="220"/>
      <c r="G31" s="220"/>
      <c r="H31" s="220"/>
      <c r="I31" s="220"/>
      <c r="J31" s="220"/>
      <c r="K31" s="220"/>
      <c r="L31" s="220"/>
      <c r="M31" s="220"/>
      <c r="N31" s="220"/>
      <c r="O31" s="220"/>
    </row>
    <row r="32" spans="1:15" ht="30" customHeight="1" x14ac:dyDescent="0.25">
      <c r="A32" s="227">
        <v>1983</v>
      </c>
      <c r="B32" s="227">
        <v>1982</v>
      </c>
      <c r="C32" s="220"/>
      <c r="D32" s="220"/>
      <c r="E32" s="220"/>
      <c r="F32" s="220"/>
      <c r="G32" s="220"/>
      <c r="H32" s="220"/>
      <c r="I32" s="220"/>
      <c r="J32" s="220"/>
      <c r="K32" s="220"/>
      <c r="L32" s="220"/>
      <c r="M32" s="220"/>
      <c r="N32" s="220"/>
      <c r="O32" s="220"/>
    </row>
    <row r="33" spans="1:15" ht="30" customHeight="1" x14ac:dyDescent="0.25">
      <c r="A33" s="227">
        <v>1982</v>
      </c>
      <c r="B33" s="227">
        <v>1981</v>
      </c>
      <c r="C33" s="220"/>
      <c r="D33" s="220"/>
      <c r="E33" s="220"/>
      <c r="F33" s="220"/>
      <c r="G33" s="220"/>
      <c r="H33" s="220"/>
      <c r="I33" s="220"/>
      <c r="J33" s="220"/>
      <c r="K33" s="220"/>
      <c r="L33" s="220"/>
      <c r="M33" s="220"/>
      <c r="N33" s="220"/>
      <c r="O33" s="220"/>
    </row>
    <row r="34" spans="1:15" ht="30" customHeight="1" x14ac:dyDescent="0.25">
      <c r="A34" s="227">
        <v>1981</v>
      </c>
      <c r="B34" s="227">
        <v>1980</v>
      </c>
      <c r="C34" s="220"/>
      <c r="D34" s="220"/>
      <c r="E34" s="220"/>
      <c r="F34" s="220"/>
      <c r="G34" s="220"/>
      <c r="H34" s="220"/>
      <c r="I34" s="220"/>
      <c r="J34" s="220"/>
      <c r="K34" s="220"/>
      <c r="L34" s="220"/>
      <c r="M34" s="220"/>
      <c r="N34" s="220"/>
      <c r="O34" s="220"/>
    </row>
    <row r="35" spans="1:15" ht="30" customHeight="1" x14ac:dyDescent="0.25">
      <c r="A35" s="227">
        <v>1980</v>
      </c>
      <c r="B35" s="227">
        <v>1979</v>
      </c>
      <c r="C35" s="220"/>
      <c r="D35" s="220"/>
      <c r="E35" s="220"/>
      <c r="F35" s="220"/>
      <c r="G35" s="220"/>
      <c r="H35" s="220"/>
      <c r="I35" s="220"/>
      <c r="J35" s="220"/>
      <c r="K35" s="220"/>
      <c r="L35" s="220"/>
      <c r="M35" s="220"/>
      <c r="N35" s="220"/>
      <c r="O35" s="220"/>
    </row>
    <row r="36" spans="1:15" ht="30" customHeight="1" x14ac:dyDescent="0.25">
      <c r="A36" s="227">
        <v>1979</v>
      </c>
      <c r="B36" s="227">
        <v>1978</v>
      </c>
      <c r="C36" s="220"/>
      <c r="D36" s="220"/>
      <c r="E36" s="220"/>
      <c r="F36" s="220"/>
      <c r="G36" s="220"/>
      <c r="H36" s="220"/>
      <c r="I36" s="220"/>
      <c r="J36" s="220"/>
      <c r="K36" s="220"/>
      <c r="L36" s="220"/>
      <c r="M36" s="220"/>
      <c r="N36" s="220"/>
      <c r="O36" s="220"/>
    </row>
    <row r="37" spans="1:15" ht="30" customHeight="1" x14ac:dyDescent="0.25">
      <c r="A37" s="227">
        <v>1978</v>
      </c>
      <c r="B37" s="227">
        <v>1977</v>
      </c>
      <c r="C37" s="220"/>
      <c r="D37" s="220"/>
      <c r="E37" s="220"/>
      <c r="F37" s="220"/>
      <c r="G37" s="220"/>
      <c r="H37" s="220"/>
      <c r="I37" s="220"/>
      <c r="J37" s="220"/>
      <c r="K37" s="220"/>
      <c r="L37" s="220"/>
      <c r="M37" s="220"/>
      <c r="N37" s="220"/>
      <c r="O37" s="220"/>
    </row>
    <row r="38" spans="1:15" ht="30" customHeight="1" x14ac:dyDescent="0.25">
      <c r="A38" s="227">
        <v>1977</v>
      </c>
      <c r="B38" s="227">
        <v>1976</v>
      </c>
      <c r="C38" s="220"/>
      <c r="D38" s="220"/>
      <c r="E38" s="220"/>
      <c r="F38" s="220"/>
      <c r="G38" s="220"/>
      <c r="H38" s="220"/>
      <c r="I38" s="220"/>
      <c r="J38" s="220"/>
      <c r="K38" s="220"/>
      <c r="L38" s="220"/>
      <c r="M38" s="220"/>
      <c r="N38" s="220"/>
      <c r="O38" s="220"/>
    </row>
    <row r="39" spans="1:15" ht="30" customHeight="1" x14ac:dyDescent="0.25">
      <c r="A39" s="227">
        <v>1976</v>
      </c>
      <c r="B39" s="227">
        <v>1975</v>
      </c>
      <c r="C39" s="220"/>
      <c r="D39" s="220"/>
      <c r="E39" s="220"/>
      <c r="F39" s="220"/>
      <c r="G39" s="220"/>
      <c r="H39" s="220"/>
      <c r="I39" s="220"/>
      <c r="J39" s="220"/>
      <c r="K39" s="220"/>
      <c r="L39" s="220"/>
      <c r="M39" s="220"/>
      <c r="N39" s="220"/>
      <c r="O39" s="220"/>
    </row>
    <row r="40" spans="1:15" ht="30" customHeight="1" x14ac:dyDescent="0.25">
      <c r="A40" s="227">
        <v>1975</v>
      </c>
      <c r="B40" s="227">
        <v>1974</v>
      </c>
      <c r="C40" s="220"/>
      <c r="D40" s="220"/>
      <c r="E40" s="220"/>
      <c r="F40" s="220"/>
      <c r="G40" s="220"/>
      <c r="H40" s="220"/>
      <c r="I40" s="220"/>
      <c r="J40" s="220"/>
      <c r="K40" s="220"/>
      <c r="L40" s="220"/>
      <c r="M40" s="220"/>
      <c r="N40" s="220"/>
      <c r="O40" s="220"/>
    </row>
    <row r="41" spans="1:15" ht="30" customHeight="1" x14ac:dyDescent="0.25">
      <c r="A41" s="227">
        <v>1974</v>
      </c>
      <c r="B41" s="227">
        <v>1973</v>
      </c>
      <c r="C41" s="220"/>
      <c r="D41" s="220"/>
      <c r="E41" s="220"/>
      <c r="F41" s="220"/>
      <c r="G41" s="220"/>
      <c r="H41" s="220"/>
      <c r="I41" s="220"/>
      <c r="J41" s="220"/>
      <c r="K41" s="220"/>
      <c r="L41" s="220"/>
      <c r="M41" s="220"/>
      <c r="N41" s="220"/>
      <c r="O41" s="220"/>
    </row>
    <row r="42" spans="1:15" ht="30" customHeight="1" x14ac:dyDescent="0.25">
      <c r="A42" s="227">
        <v>1973</v>
      </c>
      <c r="B42" s="227">
        <v>1972</v>
      </c>
      <c r="C42" s="220"/>
      <c r="D42" s="220"/>
      <c r="E42" s="220"/>
      <c r="F42" s="220"/>
      <c r="G42" s="220"/>
      <c r="H42" s="220"/>
      <c r="I42" s="220"/>
      <c r="J42" s="220"/>
      <c r="K42" s="220"/>
      <c r="L42" s="220"/>
      <c r="M42" s="220"/>
      <c r="N42" s="220"/>
      <c r="O42" s="220"/>
    </row>
    <row r="43" spans="1:15" ht="30" customHeight="1" x14ac:dyDescent="0.25">
      <c r="A43" s="227">
        <v>1972</v>
      </c>
      <c r="B43" s="227">
        <v>1971</v>
      </c>
      <c r="C43" s="220"/>
      <c r="D43" s="220"/>
      <c r="E43" s="220"/>
      <c r="F43" s="220"/>
      <c r="G43" s="220"/>
      <c r="H43" s="220"/>
      <c r="I43" s="220"/>
      <c r="J43" s="220"/>
      <c r="K43" s="220"/>
      <c r="L43" s="220"/>
      <c r="M43" s="220"/>
      <c r="N43" s="220"/>
      <c r="O43" s="220"/>
    </row>
    <row r="44" spans="1:15" ht="30" customHeight="1" x14ac:dyDescent="0.25">
      <c r="A44" s="227">
        <v>1971</v>
      </c>
      <c r="B44" s="227">
        <v>1970</v>
      </c>
      <c r="C44" s="220"/>
      <c r="D44" s="220"/>
      <c r="E44" s="220"/>
      <c r="F44" s="220"/>
      <c r="G44" s="220"/>
      <c r="H44" s="220"/>
      <c r="I44" s="220"/>
      <c r="J44" s="220"/>
      <c r="K44" s="220"/>
      <c r="L44" s="220"/>
      <c r="M44" s="220"/>
      <c r="N44" s="220"/>
      <c r="O44" s="220"/>
    </row>
    <row r="45" spans="1:15" ht="30" customHeight="1" x14ac:dyDescent="0.25">
      <c r="A45" s="227">
        <v>1970</v>
      </c>
      <c r="B45" s="227">
        <v>1969</v>
      </c>
      <c r="C45" s="220"/>
      <c r="D45" s="220"/>
      <c r="E45" s="220"/>
      <c r="F45" s="220"/>
      <c r="G45" s="220"/>
      <c r="H45" s="220"/>
      <c r="I45" s="220"/>
      <c r="J45" s="220"/>
      <c r="K45" s="220"/>
      <c r="L45" s="220"/>
      <c r="M45" s="220"/>
      <c r="N45" s="220"/>
      <c r="O45" s="220"/>
    </row>
    <row r="46" spans="1:15" ht="30" customHeight="1" x14ac:dyDescent="0.25">
      <c r="A46" s="227">
        <v>1969</v>
      </c>
      <c r="B46" s="227">
        <v>1968</v>
      </c>
      <c r="C46" s="220"/>
      <c r="D46" s="220"/>
      <c r="E46" s="220"/>
      <c r="F46" s="220"/>
      <c r="G46" s="220"/>
      <c r="H46" s="220"/>
      <c r="I46" s="220"/>
      <c r="J46" s="220"/>
      <c r="K46" s="220"/>
      <c r="L46" s="220"/>
      <c r="M46" s="220"/>
      <c r="N46" s="220"/>
      <c r="O46" s="220"/>
    </row>
    <row r="47" spans="1:15" ht="30" customHeight="1" x14ac:dyDescent="0.25">
      <c r="A47" s="227">
        <v>1968</v>
      </c>
      <c r="B47" s="227">
        <v>1967</v>
      </c>
      <c r="C47" s="220"/>
      <c r="D47" s="220"/>
      <c r="E47" s="220"/>
      <c r="F47" s="220"/>
      <c r="G47" s="220"/>
      <c r="H47" s="220"/>
      <c r="I47" s="220"/>
      <c r="J47" s="220"/>
      <c r="K47" s="220"/>
      <c r="L47" s="220"/>
      <c r="M47" s="220"/>
      <c r="N47" s="220"/>
      <c r="O47" s="220"/>
    </row>
    <row r="48" spans="1:15" ht="30" customHeight="1" x14ac:dyDescent="0.25">
      <c r="A48" s="227">
        <v>1967</v>
      </c>
      <c r="B48" s="227">
        <v>1966</v>
      </c>
      <c r="C48" s="220"/>
      <c r="D48" s="220"/>
      <c r="E48" s="220"/>
      <c r="F48" s="220"/>
      <c r="G48" s="220"/>
      <c r="H48" s="220"/>
      <c r="I48" s="220"/>
      <c r="J48" s="220"/>
      <c r="K48" s="220"/>
      <c r="L48" s="220"/>
      <c r="M48" s="220"/>
      <c r="N48" s="220"/>
      <c r="O48" s="220"/>
    </row>
    <row r="49" spans="1:15" ht="30" customHeight="1" x14ac:dyDescent="0.25">
      <c r="A49" s="227">
        <v>1966</v>
      </c>
      <c r="B49" s="227">
        <v>1965</v>
      </c>
      <c r="C49" s="220"/>
      <c r="D49" s="220"/>
      <c r="E49" s="220"/>
      <c r="F49" s="220"/>
      <c r="G49" s="220"/>
      <c r="H49" s="220"/>
      <c r="I49" s="220"/>
      <c r="J49" s="220"/>
      <c r="K49" s="220"/>
      <c r="L49" s="220"/>
      <c r="M49" s="220"/>
      <c r="N49" s="220"/>
      <c r="O49" s="220"/>
    </row>
    <row r="50" spans="1:15" ht="30" customHeight="1" x14ac:dyDescent="0.25">
      <c r="A50" s="227">
        <v>1965</v>
      </c>
      <c r="B50" s="227">
        <v>1964</v>
      </c>
      <c r="C50" s="220"/>
      <c r="D50" s="220"/>
      <c r="E50" s="220"/>
      <c r="F50" s="220"/>
      <c r="G50" s="220"/>
      <c r="H50" s="220"/>
      <c r="I50" s="220"/>
      <c r="J50" s="220"/>
      <c r="K50" s="220"/>
      <c r="L50" s="220"/>
      <c r="M50" s="220"/>
      <c r="N50" s="220"/>
      <c r="O50" s="220"/>
    </row>
    <row r="51" spans="1:15" ht="30" customHeight="1" x14ac:dyDescent="0.25">
      <c r="A51" s="227">
        <v>1964</v>
      </c>
      <c r="B51" s="227">
        <v>1963</v>
      </c>
      <c r="C51" s="220"/>
      <c r="D51" s="220"/>
      <c r="E51" s="220"/>
      <c r="F51" s="220"/>
      <c r="G51" s="220"/>
      <c r="H51" s="220"/>
      <c r="I51" s="220"/>
      <c r="J51" s="220"/>
      <c r="K51" s="220"/>
      <c r="L51" s="220"/>
      <c r="M51" s="220"/>
      <c r="N51" s="220"/>
      <c r="O51" s="220"/>
    </row>
    <row r="52" spans="1:15" ht="30" customHeight="1" x14ac:dyDescent="0.25">
      <c r="A52" s="227">
        <v>1963</v>
      </c>
      <c r="B52" s="227">
        <v>1962</v>
      </c>
      <c r="C52" s="220"/>
      <c r="D52" s="220"/>
      <c r="E52" s="220"/>
      <c r="F52" s="220"/>
      <c r="G52" s="220"/>
      <c r="H52" s="220"/>
      <c r="I52" s="220"/>
      <c r="J52" s="220"/>
      <c r="K52" s="220"/>
      <c r="L52" s="220"/>
      <c r="M52" s="220"/>
      <c r="N52" s="220"/>
      <c r="O52" s="220"/>
    </row>
    <row r="53" spans="1:15" ht="30" customHeight="1" x14ac:dyDescent="0.25">
      <c r="A53" s="227">
        <v>1962</v>
      </c>
      <c r="B53" s="227">
        <v>1961</v>
      </c>
      <c r="C53" s="220"/>
      <c r="D53" s="220"/>
      <c r="E53" s="220"/>
      <c r="F53" s="220"/>
      <c r="G53" s="220"/>
      <c r="H53" s="220"/>
      <c r="I53" s="220"/>
      <c r="J53" s="220"/>
      <c r="K53" s="220"/>
      <c r="L53" s="220"/>
      <c r="M53" s="220"/>
      <c r="N53" s="220"/>
      <c r="O53" s="220"/>
    </row>
    <row r="54" spans="1:15" ht="30" customHeight="1" x14ac:dyDescent="0.25">
      <c r="A54" s="227">
        <v>1961</v>
      </c>
      <c r="B54" s="227">
        <v>1960</v>
      </c>
      <c r="C54" s="220"/>
      <c r="D54" s="220"/>
      <c r="E54" s="220"/>
      <c r="F54" s="220"/>
      <c r="G54" s="220"/>
      <c r="H54" s="220"/>
      <c r="I54" s="220"/>
      <c r="J54" s="220"/>
      <c r="K54" s="220"/>
      <c r="L54" s="220"/>
      <c r="M54" s="220"/>
      <c r="N54" s="220"/>
      <c r="O54" s="220"/>
    </row>
    <row r="55" spans="1:15" ht="30" customHeight="1" x14ac:dyDescent="0.25">
      <c r="A55" s="227">
        <v>1960</v>
      </c>
      <c r="B55" s="227">
        <v>1959</v>
      </c>
      <c r="C55" s="220"/>
      <c r="D55" s="220"/>
      <c r="E55" s="220"/>
      <c r="F55" s="220"/>
      <c r="G55" s="220"/>
      <c r="H55" s="220"/>
      <c r="I55" s="220"/>
      <c r="J55" s="220"/>
      <c r="K55" s="220"/>
      <c r="L55" s="220"/>
      <c r="M55" s="220"/>
      <c r="N55" s="220"/>
      <c r="O55" s="220"/>
    </row>
    <row r="56" spans="1:15" ht="30" customHeight="1" x14ac:dyDescent="0.25">
      <c r="A56" s="227">
        <v>1959</v>
      </c>
      <c r="B56" s="227">
        <v>1958</v>
      </c>
      <c r="C56" s="220"/>
      <c r="D56" s="220"/>
      <c r="E56" s="220"/>
      <c r="F56" s="220"/>
      <c r="G56" s="220"/>
      <c r="H56" s="220"/>
      <c r="I56" s="220"/>
      <c r="J56" s="220"/>
      <c r="K56" s="220"/>
      <c r="L56" s="220"/>
      <c r="M56" s="220"/>
      <c r="N56" s="220"/>
      <c r="O56" s="220"/>
    </row>
    <row r="57" spans="1:15" ht="30" customHeight="1" x14ac:dyDescent="0.25">
      <c r="A57" s="227">
        <v>1958</v>
      </c>
      <c r="B57" s="227">
        <v>1957</v>
      </c>
      <c r="C57" s="220"/>
      <c r="D57" s="220"/>
      <c r="E57" s="220"/>
      <c r="F57" s="220"/>
      <c r="G57" s="220"/>
      <c r="H57" s="220"/>
      <c r="I57" s="220"/>
      <c r="J57" s="220"/>
      <c r="K57" s="220"/>
      <c r="L57" s="220"/>
      <c r="M57" s="220"/>
      <c r="N57" s="220"/>
      <c r="O57" s="220"/>
    </row>
    <row r="58" spans="1:15" ht="30" customHeight="1" x14ac:dyDescent="0.25">
      <c r="A58" s="227">
        <v>1957</v>
      </c>
      <c r="B58" s="227">
        <v>1956</v>
      </c>
      <c r="C58" s="220"/>
      <c r="D58" s="220"/>
      <c r="E58" s="220"/>
      <c r="F58" s="220"/>
      <c r="G58" s="220"/>
      <c r="H58" s="220"/>
      <c r="I58" s="220"/>
      <c r="J58" s="220"/>
      <c r="K58" s="220"/>
      <c r="L58" s="220"/>
      <c r="M58" s="220"/>
      <c r="N58" s="220"/>
      <c r="O58" s="220"/>
    </row>
    <row r="59" spans="1:15" ht="30" customHeight="1" x14ac:dyDescent="0.25">
      <c r="A59" s="227">
        <v>1956</v>
      </c>
      <c r="B59" s="227">
        <v>1955</v>
      </c>
      <c r="C59" s="220"/>
      <c r="D59" s="220"/>
      <c r="E59" s="220"/>
      <c r="F59" s="220"/>
      <c r="G59" s="220"/>
      <c r="H59" s="220"/>
      <c r="I59" s="220"/>
      <c r="J59" s="220"/>
      <c r="K59" s="220"/>
      <c r="L59" s="220"/>
      <c r="M59" s="220"/>
      <c r="N59" s="220"/>
      <c r="O59" s="220"/>
    </row>
    <row r="60" spans="1:15" ht="30" customHeight="1" x14ac:dyDescent="0.25">
      <c r="A60" s="227">
        <v>1955</v>
      </c>
      <c r="B60" s="227">
        <v>1954</v>
      </c>
      <c r="C60" s="220"/>
      <c r="D60" s="220"/>
      <c r="E60" s="220"/>
      <c r="F60" s="220"/>
      <c r="G60" s="220"/>
      <c r="H60" s="220"/>
      <c r="I60" s="220"/>
      <c r="J60" s="220"/>
      <c r="K60" s="220"/>
      <c r="L60" s="220"/>
      <c r="M60" s="220"/>
      <c r="N60" s="220"/>
      <c r="O60" s="220"/>
    </row>
    <row r="61" spans="1:15" ht="30" customHeight="1" x14ac:dyDescent="0.25">
      <c r="A61" s="227">
        <v>1954</v>
      </c>
      <c r="B61" s="227">
        <v>1953</v>
      </c>
      <c r="C61" s="220"/>
      <c r="D61" s="220"/>
      <c r="E61" s="220"/>
      <c r="F61" s="220"/>
      <c r="G61" s="220"/>
      <c r="H61" s="220"/>
      <c r="I61" s="220"/>
      <c r="J61" s="220"/>
      <c r="K61" s="220"/>
      <c r="L61" s="220"/>
      <c r="M61" s="220"/>
      <c r="N61" s="220"/>
      <c r="O61" s="220"/>
    </row>
    <row r="62" spans="1:15" ht="30" customHeight="1" x14ac:dyDescent="0.25">
      <c r="A62" s="227">
        <v>1953</v>
      </c>
      <c r="B62" s="227">
        <v>1952</v>
      </c>
      <c r="C62" s="220"/>
      <c r="D62" s="220"/>
      <c r="E62" s="220"/>
      <c r="F62" s="220"/>
      <c r="G62" s="220"/>
      <c r="H62" s="220"/>
      <c r="I62" s="220"/>
      <c r="J62" s="220"/>
      <c r="K62" s="220"/>
      <c r="L62" s="220"/>
      <c r="M62" s="220"/>
      <c r="N62" s="220"/>
      <c r="O62" s="220"/>
    </row>
    <row r="63" spans="1:15" ht="30" customHeight="1" x14ac:dyDescent="0.25">
      <c r="A63" s="227">
        <v>1952</v>
      </c>
      <c r="B63" s="227">
        <v>1951</v>
      </c>
      <c r="C63" s="220"/>
      <c r="D63" s="220"/>
      <c r="E63" s="220"/>
      <c r="F63" s="220"/>
      <c r="G63" s="220"/>
      <c r="H63" s="220"/>
      <c r="I63" s="220"/>
      <c r="J63" s="220"/>
      <c r="K63" s="220"/>
      <c r="L63" s="220"/>
      <c r="M63" s="220"/>
      <c r="N63" s="220"/>
      <c r="O63" s="220"/>
    </row>
    <row r="64" spans="1:15" ht="30" customHeight="1" x14ac:dyDescent="0.25">
      <c r="A64" s="227">
        <v>1951</v>
      </c>
      <c r="B64" s="227">
        <v>1950</v>
      </c>
      <c r="C64" s="220"/>
      <c r="D64" s="220"/>
      <c r="E64" s="220"/>
      <c r="F64" s="220"/>
      <c r="G64" s="220"/>
      <c r="H64" s="220"/>
      <c r="I64" s="220"/>
      <c r="J64" s="220"/>
      <c r="K64" s="220"/>
      <c r="L64" s="220"/>
      <c r="M64" s="220"/>
      <c r="N64" s="220"/>
      <c r="O64" s="220"/>
    </row>
    <row r="65" spans="1:15" ht="30" customHeight="1" x14ac:dyDescent="0.25">
      <c r="A65" s="227">
        <v>1950</v>
      </c>
      <c r="B65" s="227">
        <v>1949</v>
      </c>
      <c r="C65" s="220"/>
      <c r="D65" s="220"/>
      <c r="E65" s="220"/>
      <c r="F65" s="220"/>
      <c r="G65" s="220"/>
      <c r="H65" s="220"/>
      <c r="I65" s="220"/>
      <c r="J65" s="220"/>
      <c r="K65" s="220"/>
      <c r="L65" s="220"/>
      <c r="M65" s="220"/>
      <c r="N65" s="220"/>
      <c r="O65" s="220"/>
    </row>
    <row r="66" spans="1:15" ht="30" customHeight="1" x14ac:dyDescent="0.25">
      <c r="A66" s="227">
        <v>1949</v>
      </c>
      <c r="B66" s="227">
        <v>1948</v>
      </c>
      <c r="C66" s="220"/>
      <c r="D66" s="220"/>
      <c r="E66" s="220"/>
      <c r="F66" s="220"/>
      <c r="G66" s="220"/>
      <c r="H66" s="220"/>
      <c r="I66" s="220"/>
      <c r="J66" s="220"/>
      <c r="K66" s="220"/>
      <c r="L66" s="220"/>
      <c r="M66" s="220"/>
      <c r="N66" s="220"/>
      <c r="O66" s="220"/>
    </row>
    <row r="67" spans="1:15" ht="30" customHeight="1" x14ac:dyDescent="0.25">
      <c r="A67" s="227">
        <v>1948</v>
      </c>
      <c r="B67" s="227">
        <v>1947</v>
      </c>
      <c r="C67" s="220"/>
      <c r="D67" s="220"/>
      <c r="E67" s="220"/>
      <c r="F67" s="220"/>
      <c r="G67" s="220"/>
      <c r="H67" s="220"/>
      <c r="I67" s="220"/>
      <c r="J67" s="220"/>
      <c r="K67" s="220"/>
      <c r="L67" s="220"/>
      <c r="M67" s="220"/>
      <c r="N67" s="220"/>
      <c r="O67" s="220"/>
    </row>
    <row r="68" spans="1:15" ht="30" customHeight="1" x14ac:dyDescent="0.25">
      <c r="A68" s="227">
        <v>1947</v>
      </c>
      <c r="B68" s="227">
        <v>1946</v>
      </c>
      <c r="C68" s="220"/>
      <c r="D68" s="220"/>
      <c r="E68" s="220"/>
      <c r="F68" s="220"/>
      <c r="G68" s="220"/>
      <c r="H68" s="220"/>
      <c r="I68" s="220"/>
      <c r="J68" s="220"/>
      <c r="K68" s="220"/>
      <c r="L68" s="220"/>
      <c r="M68" s="220"/>
      <c r="N68" s="220"/>
      <c r="O68" s="220"/>
    </row>
    <row r="69" spans="1:15" ht="30" customHeight="1" x14ac:dyDescent="0.25">
      <c r="A69" s="227">
        <v>1946</v>
      </c>
      <c r="B69" s="227">
        <v>1945</v>
      </c>
      <c r="C69" s="220"/>
      <c r="D69" s="220"/>
      <c r="E69" s="220"/>
      <c r="F69" s="220"/>
      <c r="G69" s="220"/>
      <c r="H69" s="220"/>
      <c r="I69" s="220"/>
      <c r="J69" s="220"/>
      <c r="K69" s="220"/>
      <c r="L69" s="220"/>
      <c r="M69" s="220"/>
      <c r="N69" s="220"/>
      <c r="O69" s="220"/>
    </row>
    <row r="70" spans="1:15" ht="30" customHeight="1" x14ac:dyDescent="0.25">
      <c r="A70" s="227">
        <v>1945</v>
      </c>
      <c r="B70" s="227">
        <v>1944</v>
      </c>
      <c r="C70" s="220"/>
      <c r="D70" s="220"/>
      <c r="E70" s="220"/>
      <c r="F70" s="220"/>
      <c r="G70" s="220"/>
      <c r="H70" s="220"/>
      <c r="I70" s="220"/>
      <c r="J70" s="220"/>
      <c r="K70" s="220"/>
      <c r="L70" s="220"/>
      <c r="M70" s="220"/>
      <c r="N70" s="220"/>
      <c r="O70" s="220"/>
    </row>
    <row r="88" spans="1:2" ht="30" customHeight="1" x14ac:dyDescent="0.25">
      <c r="A88" s="74"/>
      <c r="B88" s="74"/>
    </row>
    <row r="89" spans="1:2" ht="30" customHeight="1" x14ac:dyDescent="0.25">
      <c r="A89" s="74"/>
      <c r="B89" s="74"/>
    </row>
    <row r="90" spans="1:2" ht="30" customHeight="1" x14ac:dyDescent="0.25">
      <c r="A90" s="74"/>
      <c r="B90" s="74"/>
    </row>
    <row r="91" spans="1:2" ht="30" customHeight="1" x14ac:dyDescent="0.25">
      <c r="A91" s="74"/>
      <c r="B91" s="74"/>
    </row>
    <row r="92" spans="1:2" ht="30" customHeight="1" x14ac:dyDescent="0.25">
      <c r="A92" s="74"/>
      <c r="B92" s="74"/>
    </row>
  </sheetData>
  <mergeCells count="1">
    <mergeCell ref="O3:O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2"/>
  <sheetViews>
    <sheetView workbookViewId="0">
      <pane xSplit="2" ySplit="1" topLeftCell="S2" activePane="bottomRight" state="frozen"/>
      <selection pane="topRight" activeCell="C1" sqref="C1"/>
      <selection pane="bottomLeft" activeCell="A2" sqref="A2"/>
      <selection pane="bottomRight" sqref="A1:XFD1"/>
    </sheetView>
  </sheetViews>
  <sheetFormatPr baseColWidth="10" defaultColWidth="15.7109375" defaultRowHeight="30" customHeight="1" x14ac:dyDescent="0.25"/>
  <cols>
    <col min="1" max="2" width="15.7109375" style="35" customWidth="1"/>
    <col min="3" max="3" width="22.42578125" style="35" customWidth="1"/>
    <col min="4" max="4" width="15.7109375" style="35"/>
    <col min="5" max="15" width="18.5703125" style="35" customWidth="1"/>
    <col min="16" max="16" width="21.28515625" style="35" customWidth="1"/>
    <col min="17" max="17" width="18.5703125" style="35" customWidth="1"/>
    <col min="18" max="18" width="21.42578125" style="35" customWidth="1"/>
    <col min="19" max="19" width="21.5703125" style="35" customWidth="1"/>
    <col min="20" max="21" width="18.5703125" style="35" customWidth="1"/>
    <col min="22" max="22" width="26.5703125" style="35" customWidth="1"/>
    <col min="23" max="23" width="15.7109375" style="35"/>
    <col min="24" max="24" width="126.5703125" style="35" customWidth="1"/>
    <col min="25" max="16384" width="15.7109375" style="35"/>
  </cols>
  <sheetData>
    <row r="1" spans="1:24" s="279" customFormat="1" ht="30" hidden="1" customHeight="1" x14ac:dyDescent="0.25">
      <c r="A1" s="224" t="s">
        <v>221</v>
      </c>
      <c r="B1" s="224" t="s">
        <v>222</v>
      </c>
      <c r="C1" s="225" t="s">
        <v>69</v>
      </c>
      <c r="D1" s="225" t="s">
        <v>58</v>
      </c>
      <c r="E1" s="225" t="s">
        <v>165</v>
      </c>
      <c r="F1" s="225" t="s">
        <v>166</v>
      </c>
      <c r="G1" s="104" t="s">
        <v>250</v>
      </c>
      <c r="H1" s="104" t="s">
        <v>251</v>
      </c>
      <c r="I1" s="225" t="s">
        <v>244</v>
      </c>
      <c r="J1" s="225" t="s">
        <v>245</v>
      </c>
      <c r="K1" s="225" t="s">
        <v>246</v>
      </c>
      <c r="L1" s="225" t="s">
        <v>253</v>
      </c>
      <c r="M1" s="225" t="s">
        <v>254</v>
      </c>
      <c r="N1" s="225" t="s">
        <v>247</v>
      </c>
      <c r="O1" s="225" t="s">
        <v>249</v>
      </c>
      <c r="P1" s="225" t="s">
        <v>252</v>
      </c>
      <c r="Q1" s="225" t="s">
        <v>264</v>
      </c>
      <c r="R1" s="225" t="s">
        <v>263</v>
      </c>
      <c r="S1" s="225" t="s">
        <v>256</v>
      </c>
      <c r="T1" s="225" t="s">
        <v>255</v>
      </c>
      <c r="U1" s="225" t="s">
        <v>257</v>
      </c>
      <c r="V1" s="224" t="s">
        <v>135</v>
      </c>
      <c r="W1" s="224" t="s">
        <v>4</v>
      </c>
      <c r="X1" s="226" t="s">
        <v>5</v>
      </c>
    </row>
    <row r="2" spans="1:24" s="68" customFormat="1" ht="69" customHeight="1" x14ac:dyDescent="0.25">
      <c r="A2" s="224" t="s">
        <v>221</v>
      </c>
      <c r="B2" s="224" t="s">
        <v>222</v>
      </c>
      <c r="C2" s="265" t="s">
        <v>371</v>
      </c>
      <c r="D2" s="265" t="s">
        <v>372</v>
      </c>
      <c r="E2" s="265" t="s">
        <v>373</v>
      </c>
      <c r="F2" s="264" t="s">
        <v>374</v>
      </c>
      <c r="G2" s="276" t="s">
        <v>375</v>
      </c>
      <c r="H2" s="276" t="s">
        <v>376</v>
      </c>
      <c r="I2" s="264" t="s">
        <v>377</v>
      </c>
      <c r="J2" s="264" t="s">
        <v>378</v>
      </c>
      <c r="K2" s="264" t="s">
        <v>379</v>
      </c>
      <c r="L2" s="264" t="s">
        <v>380</v>
      </c>
      <c r="M2" s="264" t="s">
        <v>380</v>
      </c>
      <c r="N2" s="264" t="s">
        <v>381</v>
      </c>
      <c r="O2" s="264" t="s">
        <v>382</v>
      </c>
      <c r="P2" s="276" t="s">
        <v>383</v>
      </c>
      <c r="Q2" s="264" t="s">
        <v>385</v>
      </c>
      <c r="R2" s="264" t="s">
        <v>384</v>
      </c>
      <c r="S2" s="276" t="s">
        <v>386</v>
      </c>
      <c r="T2" s="276" t="s">
        <v>387</v>
      </c>
      <c r="U2" s="264" t="s">
        <v>388</v>
      </c>
      <c r="V2" s="224" t="s">
        <v>135</v>
      </c>
      <c r="W2" s="224" t="s">
        <v>4</v>
      </c>
      <c r="X2" s="226" t="s">
        <v>5</v>
      </c>
    </row>
    <row r="3" spans="1:24" s="169" customFormat="1" ht="30" customHeight="1" x14ac:dyDescent="0.25">
      <c r="A3" s="227">
        <v>2012</v>
      </c>
      <c r="B3" s="227">
        <v>2011</v>
      </c>
      <c r="C3" s="193">
        <f>ROUND(1.021*C4,0)</f>
        <v>3430</v>
      </c>
      <c r="D3" s="193">
        <f t="shared" ref="D3:F3" si="0">ROUND(1.021*D4,0)</f>
        <v>5818</v>
      </c>
      <c r="E3" s="193">
        <f t="shared" si="0"/>
        <v>3609</v>
      </c>
      <c r="F3" s="193">
        <f t="shared" si="0"/>
        <v>28876</v>
      </c>
      <c r="G3" s="179"/>
      <c r="H3" s="179"/>
      <c r="I3" s="194"/>
      <c r="J3" s="194"/>
      <c r="K3" s="194"/>
      <c r="L3" s="194"/>
      <c r="M3" s="194"/>
      <c r="N3" s="194"/>
      <c r="O3" s="194"/>
      <c r="P3" s="194"/>
      <c r="Q3" s="194"/>
      <c r="R3" s="194"/>
      <c r="S3" s="194"/>
      <c r="T3" s="194"/>
      <c r="U3" s="195"/>
      <c r="V3" s="191"/>
      <c r="W3" s="191"/>
      <c r="X3" s="305" t="s">
        <v>426</v>
      </c>
    </row>
    <row r="4" spans="1:24" s="72" customFormat="1" ht="30" customHeight="1" x14ac:dyDescent="0.25">
      <c r="A4" s="227">
        <v>2011</v>
      </c>
      <c r="B4" s="227">
        <v>2010</v>
      </c>
      <c r="C4" s="39">
        <v>3359</v>
      </c>
      <c r="D4" s="217">
        <v>5698</v>
      </c>
      <c r="E4" s="217">
        <f>F4/8</f>
        <v>3535.2000000000003</v>
      </c>
      <c r="F4" s="217">
        <v>28281.600000000002</v>
      </c>
      <c r="G4" s="215"/>
      <c r="H4" s="231"/>
      <c r="I4" s="128"/>
      <c r="J4" s="158"/>
      <c r="K4" s="128"/>
      <c r="L4" s="128"/>
      <c r="M4" s="128"/>
      <c r="N4" s="128"/>
      <c r="O4" s="128"/>
      <c r="P4" s="158"/>
      <c r="Q4" s="158"/>
      <c r="R4" s="158"/>
      <c r="S4" s="158"/>
      <c r="T4" s="128"/>
      <c r="U4" s="86">
        <v>25000</v>
      </c>
      <c r="V4" s="51" t="s">
        <v>409</v>
      </c>
      <c r="W4" s="214">
        <v>40542</v>
      </c>
      <c r="X4" s="305"/>
    </row>
    <row r="5" spans="1:24" s="72" customFormat="1" ht="30" customHeight="1" x14ac:dyDescent="0.25">
      <c r="A5" s="227">
        <v>2010</v>
      </c>
      <c r="B5" s="227">
        <v>2009</v>
      </c>
      <c r="C5" s="39">
        <v>3309</v>
      </c>
      <c r="D5" s="217">
        <v>5753</v>
      </c>
      <c r="E5" s="217">
        <f t="shared" ref="E5:E10" si="1">F5/8</f>
        <v>3462</v>
      </c>
      <c r="F5" s="217">
        <v>27696</v>
      </c>
      <c r="G5" s="215"/>
      <c r="H5" s="231"/>
      <c r="I5" s="128"/>
      <c r="J5" s="158"/>
      <c r="K5" s="128"/>
      <c r="L5" s="128"/>
      <c r="M5" s="128"/>
      <c r="N5" s="128"/>
      <c r="O5" s="128"/>
      <c r="P5" s="158"/>
      <c r="Q5" s="158"/>
      <c r="R5" s="158"/>
      <c r="S5" s="158"/>
      <c r="T5" s="128"/>
      <c r="U5" s="86">
        <v>25000</v>
      </c>
      <c r="V5" s="51" t="s">
        <v>410</v>
      </c>
      <c r="W5" s="214">
        <v>40178</v>
      </c>
      <c r="X5" s="305"/>
    </row>
    <row r="6" spans="1:24" s="72" customFormat="1" ht="30" customHeight="1" x14ac:dyDescent="0.25">
      <c r="A6" s="227">
        <v>2009</v>
      </c>
      <c r="B6" s="227">
        <v>2008</v>
      </c>
      <c r="C6" s="39">
        <v>3296</v>
      </c>
      <c r="D6" s="217">
        <v>5729</v>
      </c>
      <c r="E6" s="217">
        <f t="shared" si="1"/>
        <v>3430.8</v>
      </c>
      <c r="F6" s="217">
        <v>27446.400000000001</v>
      </c>
      <c r="G6" s="215"/>
      <c r="H6" s="231"/>
      <c r="I6" s="128"/>
      <c r="J6" s="158"/>
      <c r="K6" s="128"/>
      <c r="L6" s="128"/>
      <c r="M6" s="128"/>
      <c r="N6" s="128"/>
      <c r="O6" s="128"/>
      <c r="P6" s="158"/>
      <c r="Q6" s="158"/>
      <c r="R6" s="158"/>
      <c r="S6" s="155">
        <v>0.25</v>
      </c>
      <c r="T6" s="86">
        <v>20000</v>
      </c>
      <c r="U6" s="128"/>
      <c r="V6" s="51" t="s">
        <v>411</v>
      </c>
      <c r="W6" s="214">
        <v>39810</v>
      </c>
      <c r="X6" s="305"/>
    </row>
    <row r="7" spans="1:24" s="72" customFormat="1" ht="30" customHeight="1" x14ac:dyDescent="0.25">
      <c r="A7" s="227">
        <v>2008</v>
      </c>
      <c r="B7" s="227">
        <v>2007</v>
      </c>
      <c r="C7" s="217">
        <v>3203</v>
      </c>
      <c r="D7" s="217">
        <v>5568</v>
      </c>
      <c r="E7" s="217">
        <f t="shared" si="1"/>
        <v>3327.6000000000004</v>
      </c>
      <c r="F7" s="217">
        <v>26620.800000000003</v>
      </c>
      <c r="G7" s="215"/>
      <c r="H7" s="231"/>
      <c r="I7" s="128"/>
      <c r="J7" s="158"/>
      <c r="K7" s="128"/>
      <c r="L7" s="128"/>
      <c r="M7" s="128"/>
      <c r="N7" s="128"/>
      <c r="O7" s="128"/>
      <c r="P7" s="158"/>
      <c r="Q7" s="158"/>
      <c r="R7" s="158"/>
      <c r="S7" s="155">
        <v>0.25</v>
      </c>
      <c r="T7" s="86">
        <v>20000</v>
      </c>
      <c r="U7" s="128"/>
      <c r="V7" s="51" t="s">
        <v>412</v>
      </c>
      <c r="W7" s="214">
        <v>39443</v>
      </c>
      <c r="X7" s="305"/>
    </row>
    <row r="8" spans="1:24" s="72" customFormat="1" ht="30" customHeight="1" x14ac:dyDescent="0.25">
      <c r="A8" s="227">
        <v>2007</v>
      </c>
      <c r="B8" s="227">
        <v>2006</v>
      </c>
      <c r="C8" s="217">
        <v>3162</v>
      </c>
      <c r="D8" s="217">
        <v>5495</v>
      </c>
      <c r="E8" s="217">
        <f t="shared" si="1"/>
        <v>3218.4</v>
      </c>
      <c r="F8" s="217">
        <v>25747.200000000001</v>
      </c>
      <c r="G8" s="215"/>
      <c r="H8" s="231"/>
      <c r="I8" s="128"/>
      <c r="J8" s="158"/>
      <c r="K8" s="128"/>
      <c r="L8" s="39">
        <v>15250</v>
      </c>
      <c r="M8" s="39">
        <v>30000</v>
      </c>
      <c r="N8" s="159"/>
      <c r="O8" s="86">
        <v>19000</v>
      </c>
      <c r="P8" s="40">
        <v>0.25</v>
      </c>
      <c r="Q8" s="158"/>
      <c r="R8" s="158"/>
      <c r="S8" s="158"/>
      <c r="T8" s="158"/>
      <c r="U8" s="158"/>
      <c r="V8" s="51" t="s">
        <v>413</v>
      </c>
      <c r="W8" s="214">
        <f>27/12/2006</f>
        <v>1.1216350947158525E-3</v>
      </c>
      <c r="X8" s="305"/>
    </row>
    <row r="9" spans="1:24" s="72" customFormat="1" ht="30" customHeight="1" x14ac:dyDescent="0.25">
      <c r="A9" s="227">
        <v>2006</v>
      </c>
      <c r="B9" s="227">
        <v>2005</v>
      </c>
      <c r="C9" s="217">
        <v>3106</v>
      </c>
      <c r="D9" s="217">
        <v>4489</v>
      </c>
      <c r="E9" s="217">
        <f t="shared" si="1"/>
        <v>3106.8</v>
      </c>
      <c r="F9" s="217">
        <v>24854.400000000001</v>
      </c>
      <c r="G9" s="217">
        <v>18000</v>
      </c>
      <c r="H9" s="216">
        <v>0.25</v>
      </c>
      <c r="I9" s="128"/>
      <c r="J9" s="158"/>
      <c r="K9" s="128"/>
      <c r="L9" s="39">
        <v>15250</v>
      </c>
      <c r="M9" s="39">
        <v>30000</v>
      </c>
      <c r="N9" s="154" t="s">
        <v>248</v>
      </c>
      <c r="O9" s="86">
        <v>19000</v>
      </c>
      <c r="P9" s="40">
        <v>0.25</v>
      </c>
      <c r="Q9" s="158"/>
      <c r="R9" s="158"/>
      <c r="S9" s="158"/>
      <c r="T9" s="158"/>
      <c r="U9" s="158"/>
      <c r="V9" s="51" t="s">
        <v>414</v>
      </c>
      <c r="W9" s="214">
        <v>38717</v>
      </c>
      <c r="X9" s="305"/>
    </row>
    <row r="10" spans="1:24" s="72" customFormat="1" ht="30" customHeight="1" x14ac:dyDescent="0.25">
      <c r="A10" s="227">
        <v>2005</v>
      </c>
      <c r="B10" s="227">
        <v>2004</v>
      </c>
      <c r="C10" s="217">
        <v>3051</v>
      </c>
      <c r="D10" s="217">
        <v>4410</v>
      </c>
      <c r="E10" s="217">
        <f t="shared" si="1"/>
        <v>3019.2000000000003</v>
      </c>
      <c r="F10" s="217">
        <v>24153.600000000002</v>
      </c>
      <c r="G10" s="217">
        <v>18000</v>
      </c>
      <c r="H10" s="216">
        <v>0.25</v>
      </c>
      <c r="I10" s="128"/>
      <c r="J10" s="158"/>
      <c r="K10" s="128"/>
      <c r="L10" s="39">
        <v>15250</v>
      </c>
      <c r="M10" s="39">
        <v>30000</v>
      </c>
      <c r="N10" s="154" t="s">
        <v>248</v>
      </c>
      <c r="O10" s="86">
        <v>19000</v>
      </c>
      <c r="P10" s="40">
        <v>0.25</v>
      </c>
      <c r="Q10" s="158"/>
      <c r="R10" s="158"/>
      <c r="S10" s="158"/>
      <c r="T10" s="158"/>
      <c r="U10" s="158"/>
      <c r="V10" s="51" t="s">
        <v>415</v>
      </c>
      <c r="W10" s="214">
        <v>38352</v>
      </c>
      <c r="X10" s="305"/>
    </row>
    <row r="11" spans="1:24" s="165" customFormat="1" ht="30" customHeight="1" x14ac:dyDescent="0.25">
      <c r="A11" s="227">
        <v>2004</v>
      </c>
      <c r="B11" s="227">
        <v>2003</v>
      </c>
      <c r="C11" s="39">
        <v>3000</v>
      </c>
      <c r="D11" s="39">
        <v>4338</v>
      </c>
      <c r="E11" s="128"/>
      <c r="F11" s="128"/>
      <c r="G11" s="39">
        <v>18000</v>
      </c>
      <c r="H11" s="40">
        <v>0.25</v>
      </c>
      <c r="I11" s="160"/>
      <c r="J11" s="161"/>
      <c r="K11" s="128"/>
      <c r="L11" s="86">
        <v>15250</v>
      </c>
      <c r="M11" s="39">
        <v>30000</v>
      </c>
      <c r="N11" s="154" t="s">
        <v>248</v>
      </c>
      <c r="O11" s="86">
        <v>19000</v>
      </c>
      <c r="P11" s="216">
        <v>0.25</v>
      </c>
      <c r="Q11" s="161"/>
      <c r="R11" s="161"/>
      <c r="S11" s="161"/>
      <c r="T11" s="161"/>
      <c r="U11" s="161"/>
      <c r="V11" s="83" t="s">
        <v>416</v>
      </c>
      <c r="W11" s="253">
        <v>37986</v>
      </c>
      <c r="X11" s="164"/>
    </row>
    <row r="12" spans="1:24" s="165" customFormat="1" ht="30" customHeight="1" x14ac:dyDescent="0.25">
      <c r="A12" s="227">
        <v>2003</v>
      </c>
      <c r="B12" s="227">
        <v>2002</v>
      </c>
      <c r="C12" s="39">
        <v>2862</v>
      </c>
      <c r="D12" s="39">
        <v>4137</v>
      </c>
      <c r="E12" s="128"/>
      <c r="F12" s="128"/>
      <c r="G12" s="39">
        <v>18000</v>
      </c>
      <c r="H12" s="40">
        <v>0.25</v>
      </c>
      <c r="I12" s="160"/>
      <c r="J12" s="161"/>
      <c r="K12" s="128"/>
      <c r="L12" s="86">
        <v>15250</v>
      </c>
      <c r="M12" s="160"/>
      <c r="N12" s="154" t="s">
        <v>248</v>
      </c>
      <c r="O12" s="86">
        <v>19000</v>
      </c>
      <c r="P12" s="216">
        <v>0.25</v>
      </c>
      <c r="Q12" s="161"/>
      <c r="R12" s="161"/>
      <c r="S12" s="161"/>
      <c r="T12" s="161"/>
      <c r="U12" s="161"/>
      <c r="V12" s="83" t="s">
        <v>417</v>
      </c>
      <c r="W12" s="253">
        <v>37621</v>
      </c>
      <c r="X12" s="164"/>
    </row>
    <row r="13" spans="1:24" s="72" customFormat="1" ht="30" customHeight="1" x14ac:dyDescent="0.25">
      <c r="A13" s="227">
        <v>2002</v>
      </c>
      <c r="B13" s="227">
        <v>2001</v>
      </c>
      <c r="C13" s="217">
        <v>2826</v>
      </c>
      <c r="D13" s="217">
        <v>3824</v>
      </c>
      <c r="E13" s="156"/>
      <c r="F13" s="156"/>
      <c r="G13" s="217">
        <v>18000</v>
      </c>
      <c r="H13" s="216">
        <v>0.25</v>
      </c>
      <c r="I13" s="128"/>
      <c r="J13" s="158"/>
      <c r="K13" s="128"/>
      <c r="L13" s="86">
        <v>15250</v>
      </c>
      <c r="M13" s="128"/>
      <c r="N13" s="154" t="s">
        <v>248</v>
      </c>
      <c r="O13" s="86">
        <v>19000</v>
      </c>
      <c r="P13" s="216">
        <v>0.25</v>
      </c>
      <c r="Q13" s="158"/>
      <c r="R13" s="158"/>
      <c r="S13" s="158"/>
      <c r="T13" s="158"/>
      <c r="U13" s="158"/>
      <c r="V13" s="51" t="s">
        <v>425</v>
      </c>
      <c r="W13" s="214">
        <v>37254</v>
      </c>
      <c r="X13" s="61"/>
    </row>
    <row r="14" spans="1:24" s="73" customFormat="1" ht="30" customHeight="1" x14ac:dyDescent="0.25">
      <c r="A14" s="227">
        <v>2001</v>
      </c>
      <c r="B14" s="227">
        <v>2000</v>
      </c>
      <c r="C14" s="219">
        <v>18140</v>
      </c>
      <c r="D14" s="219">
        <v>23360</v>
      </c>
      <c r="E14" s="157"/>
      <c r="F14" s="157"/>
      <c r="G14" s="219">
        <v>120000</v>
      </c>
      <c r="H14" s="216">
        <v>0.25</v>
      </c>
      <c r="I14" s="159"/>
      <c r="J14" s="158"/>
      <c r="K14" s="154">
        <v>500000</v>
      </c>
      <c r="L14" s="154">
        <v>100000</v>
      </c>
      <c r="M14" s="159"/>
      <c r="N14" s="154" t="s">
        <v>248</v>
      </c>
      <c r="O14" s="154">
        <v>125000</v>
      </c>
      <c r="P14" s="216">
        <v>0.25</v>
      </c>
      <c r="Q14" s="159"/>
      <c r="R14" s="159"/>
      <c r="S14" s="159"/>
      <c r="T14" s="159"/>
      <c r="U14" s="159"/>
      <c r="V14" s="51" t="s">
        <v>418</v>
      </c>
      <c r="W14" s="214">
        <v>36891</v>
      </c>
      <c r="X14" s="220"/>
    </row>
    <row r="15" spans="1:24" s="73" customFormat="1" ht="30" customHeight="1" x14ac:dyDescent="0.25">
      <c r="A15" s="227">
        <v>2000</v>
      </c>
      <c r="B15" s="227">
        <v>1999</v>
      </c>
      <c r="C15" s="219">
        <v>17910</v>
      </c>
      <c r="D15" s="219">
        <v>20480</v>
      </c>
      <c r="E15" s="157"/>
      <c r="F15" s="157"/>
      <c r="G15" s="219">
        <v>120000</v>
      </c>
      <c r="H15" s="216">
        <v>0.25</v>
      </c>
      <c r="I15" s="154">
        <v>25000</v>
      </c>
      <c r="J15" s="155">
        <v>0.25</v>
      </c>
      <c r="K15" s="154">
        <v>500000</v>
      </c>
      <c r="L15" s="154">
        <v>100000</v>
      </c>
      <c r="M15" s="159"/>
      <c r="N15" s="154" t="s">
        <v>248</v>
      </c>
      <c r="O15" s="154">
        <v>125000</v>
      </c>
      <c r="P15" s="216">
        <v>0.25</v>
      </c>
      <c r="Q15" s="159"/>
      <c r="R15" s="159"/>
      <c r="S15" s="159"/>
      <c r="T15" s="159"/>
      <c r="U15" s="159"/>
      <c r="V15" s="213" t="s">
        <v>419</v>
      </c>
      <c r="W15" s="214">
        <v>36525</v>
      </c>
      <c r="X15" s="96"/>
    </row>
    <row r="16" spans="1:24" s="73" customFormat="1" ht="30" customHeight="1" x14ac:dyDescent="0.25">
      <c r="A16" s="227">
        <v>1999</v>
      </c>
      <c r="B16" s="227">
        <v>1998</v>
      </c>
      <c r="C16" s="219">
        <v>17840</v>
      </c>
      <c r="D16" s="219">
        <v>20370</v>
      </c>
      <c r="E16" s="157"/>
      <c r="F16" s="157"/>
      <c r="G16" s="219">
        <v>120000</v>
      </c>
      <c r="H16" s="216">
        <v>0.25</v>
      </c>
      <c r="I16" s="154">
        <v>25000</v>
      </c>
      <c r="J16" s="155">
        <v>0.25</v>
      </c>
      <c r="K16" s="154">
        <v>500000</v>
      </c>
      <c r="L16" s="154">
        <v>100000</v>
      </c>
      <c r="M16" s="159"/>
      <c r="N16" s="154" t="s">
        <v>248</v>
      </c>
      <c r="O16" s="154">
        <v>125000</v>
      </c>
      <c r="P16" s="216">
        <v>0.25</v>
      </c>
      <c r="Q16" s="159"/>
      <c r="R16" s="159"/>
      <c r="S16" s="159"/>
      <c r="T16" s="159"/>
      <c r="U16" s="159"/>
      <c r="V16" s="51" t="s">
        <v>420</v>
      </c>
      <c r="W16" s="214">
        <v>36160</v>
      </c>
      <c r="X16" s="234"/>
    </row>
    <row r="17" spans="1:24" s="73" customFormat="1" ht="30" customHeight="1" x14ac:dyDescent="0.25">
      <c r="A17" s="227">
        <v>1998</v>
      </c>
      <c r="B17" s="227">
        <v>1997</v>
      </c>
      <c r="C17" s="219">
        <v>17680</v>
      </c>
      <c r="D17" s="219">
        <v>30330</v>
      </c>
      <c r="E17" s="157"/>
      <c r="F17" s="157"/>
      <c r="G17" s="219">
        <v>120000</v>
      </c>
      <c r="H17" s="216">
        <v>0.25</v>
      </c>
      <c r="I17" s="154">
        <v>25000</v>
      </c>
      <c r="J17" s="155">
        <v>0.25</v>
      </c>
      <c r="K17" s="154">
        <v>500000</v>
      </c>
      <c r="L17" s="154">
        <v>100000</v>
      </c>
      <c r="M17" s="159"/>
      <c r="N17" s="154" t="s">
        <v>248</v>
      </c>
      <c r="O17" s="159"/>
      <c r="P17" s="159"/>
      <c r="Q17" s="159"/>
      <c r="R17" s="159"/>
      <c r="S17" s="159"/>
      <c r="T17" s="159"/>
      <c r="U17" s="159"/>
      <c r="V17" s="51" t="s">
        <v>421</v>
      </c>
      <c r="W17" s="214">
        <v>35795</v>
      </c>
      <c r="X17" s="234"/>
    </row>
    <row r="18" spans="1:24" s="73" customFormat="1" ht="30" customHeight="1" x14ac:dyDescent="0.25">
      <c r="A18" s="227">
        <v>1997</v>
      </c>
      <c r="B18" s="227">
        <v>1996</v>
      </c>
      <c r="C18" s="219">
        <v>17550</v>
      </c>
      <c r="D18" s="219">
        <v>30000</v>
      </c>
      <c r="E18" s="157"/>
      <c r="F18" s="157"/>
      <c r="G18" s="237" t="s">
        <v>248</v>
      </c>
      <c r="H18" s="216">
        <v>0.25</v>
      </c>
      <c r="I18" s="154">
        <v>25000</v>
      </c>
      <c r="J18" s="155">
        <v>0.25</v>
      </c>
      <c r="K18" s="154">
        <v>500000</v>
      </c>
      <c r="L18" s="154">
        <v>100000</v>
      </c>
      <c r="M18" s="159"/>
      <c r="N18" s="159"/>
      <c r="O18" s="159"/>
      <c r="P18" s="159"/>
      <c r="Q18" s="154">
        <v>6000</v>
      </c>
      <c r="R18" s="154">
        <v>500</v>
      </c>
      <c r="S18" s="159"/>
      <c r="T18" s="159"/>
      <c r="U18" s="159"/>
      <c r="V18" s="53" t="s">
        <v>422</v>
      </c>
      <c r="W18" s="214">
        <v>35430</v>
      </c>
      <c r="X18" s="70"/>
    </row>
    <row r="19" spans="1:24" s="73" customFormat="1" ht="30" customHeight="1" x14ac:dyDescent="0.25">
      <c r="A19" s="227">
        <v>1996</v>
      </c>
      <c r="B19" s="227">
        <v>1995</v>
      </c>
      <c r="C19" s="219">
        <v>17160</v>
      </c>
      <c r="D19" s="219">
        <v>27989.999999999996</v>
      </c>
      <c r="E19" s="157"/>
      <c r="F19" s="157"/>
      <c r="G19" s="237" t="s">
        <v>248</v>
      </c>
      <c r="H19" s="216">
        <v>0.25</v>
      </c>
      <c r="I19" s="154">
        <v>25000</v>
      </c>
      <c r="J19" s="155">
        <v>0.25</v>
      </c>
      <c r="K19" s="158"/>
      <c r="L19" s="154">
        <v>100000</v>
      </c>
      <c r="M19" s="159"/>
      <c r="N19" s="159"/>
      <c r="O19" s="159"/>
      <c r="P19" s="159"/>
      <c r="Q19" s="154">
        <v>6000</v>
      </c>
      <c r="R19" s="154">
        <v>500</v>
      </c>
      <c r="S19" s="159"/>
      <c r="T19" s="159"/>
      <c r="U19" s="159"/>
      <c r="V19" s="53" t="s">
        <v>423</v>
      </c>
      <c r="W19" s="222">
        <v>35064</v>
      </c>
      <c r="X19" s="70"/>
    </row>
    <row r="20" spans="1:24" s="73" customFormat="1" ht="30" customHeight="1" x14ac:dyDescent="0.25">
      <c r="A20" s="227">
        <v>1995</v>
      </c>
      <c r="B20" s="227">
        <v>1994</v>
      </c>
      <c r="C20" s="219">
        <v>16910</v>
      </c>
      <c r="D20" s="219">
        <v>27500</v>
      </c>
      <c r="E20" s="157"/>
      <c r="F20" s="157"/>
      <c r="G20" s="237" t="s">
        <v>248</v>
      </c>
      <c r="H20" s="216">
        <v>0.25</v>
      </c>
      <c r="I20" s="154"/>
      <c r="J20" s="155"/>
      <c r="K20" s="155"/>
      <c r="L20" s="154"/>
      <c r="M20" s="154"/>
      <c r="N20" s="154"/>
      <c r="O20" s="154"/>
      <c r="P20" s="154"/>
      <c r="Q20" s="154"/>
      <c r="R20" s="154"/>
      <c r="S20" s="154"/>
      <c r="T20" s="154"/>
      <c r="U20" s="154"/>
      <c r="V20" s="53" t="s">
        <v>424</v>
      </c>
      <c r="W20" s="222">
        <v>34698</v>
      </c>
      <c r="X20" s="70"/>
    </row>
    <row r="21" spans="1:24" ht="30" customHeight="1" x14ac:dyDescent="0.25">
      <c r="A21" s="227">
        <v>1994</v>
      </c>
      <c r="B21" s="227">
        <v>1993</v>
      </c>
      <c r="C21" s="220"/>
      <c r="D21" s="220"/>
      <c r="E21" s="220"/>
      <c r="F21" s="220"/>
      <c r="G21" s="220"/>
      <c r="H21" s="220"/>
      <c r="I21" s="220"/>
      <c r="J21" s="220"/>
      <c r="K21" s="220"/>
      <c r="L21" s="220"/>
      <c r="M21" s="220"/>
      <c r="N21" s="220"/>
      <c r="O21" s="220"/>
      <c r="P21" s="220"/>
      <c r="Q21" s="220"/>
      <c r="R21" s="220"/>
      <c r="S21" s="220"/>
      <c r="T21" s="220"/>
      <c r="U21" s="220"/>
      <c r="V21" s="71"/>
      <c r="W21" s="62"/>
      <c r="X21" s="70"/>
    </row>
    <row r="22" spans="1:24" ht="30" customHeight="1" x14ac:dyDescent="0.25">
      <c r="A22" s="227">
        <v>1993</v>
      </c>
      <c r="B22" s="227">
        <v>1992</v>
      </c>
      <c r="C22" s="220"/>
      <c r="D22" s="220"/>
      <c r="E22" s="220"/>
      <c r="F22" s="220"/>
      <c r="G22" s="220"/>
      <c r="H22" s="220"/>
      <c r="I22" s="220"/>
      <c r="J22" s="220"/>
      <c r="K22" s="220"/>
      <c r="L22" s="220"/>
      <c r="M22" s="220"/>
      <c r="N22" s="220"/>
      <c r="O22" s="220"/>
      <c r="P22" s="220"/>
      <c r="Q22" s="220"/>
      <c r="R22" s="220"/>
      <c r="S22" s="220"/>
      <c r="T22" s="220"/>
      <c r="U22" s="220"/>
      <c r="V22" s="71"/>
      <c r="W22" s="62"/>
      <c r="X22" s="70"/>
    </row>
    <row r="23" spans="1:24" ht="30" customHeight="1" x14ac:dyDescent="0.25">
      <c r="A23" s="227">
        <v>1992</v>
      </c>
      <c r="B23" s="227">
        <v>1991</v>
      </c>
      <c r="C23" s="220"/>
      <c r="D23" s="220"/>
      <c r="E23" s="220"/>
      <c r="F23" s="220"/>
      <c r="G23" s="220"/>
      <c r="H23" s="220"/>
      <c r="I23" s="220"/>
      <c r="J23" s="220"/>
      <c r="K23" s="220"/>
      <c r="L23" s="220"/>
      <c r="M23" s="220"/>
      <c r="N23" s="220"/>
      <c r="O23" s="220"/>
      <c r="P23" s="220"/>
      <c r="Q23" s="220"/>
      <c r="R23" s="220"/>
      <c r="S23" s="220"/>
      <c r="T23" s="220"/>
      <c r="U23" s="220"/>
      <c r="V23" s="220"/>
      <c r="W23" s="220"/>
      <c r="X23" s="220"/>
    </row>
    <row r="24" spans="1:24" ht="30" customHeight="1" x14ac:dyDescent="0.25">
      <c r="A24" s="227">
        <v>1991</v>
      </c>
      <c r="B24" s="227">
        <v>1990</v>
      </c>
      <c r="C24" s="220"/>
      <c r="D24" s="220"/>
      <c r="E24" s="220"/>
      <c r="F24" s="220"/>
      <c r="G24" s="220"/>
      <c r="H24" s="220"/>
      <c r="I24" s="220"/>
      <c r="J24" s="220"/>
      <c r="K24" s="220"/>
      <c r="L24" s="220"/>
      <c r="M24" s="220"/>
      <c r="N24" s="220"/>
      <c r="O24" s="220"/>
      <c r="P24" s="220"/>
      <c r="Q24" s="220"/>
      <c r="R24" s="220"/>
      <c r="S24" s="220"/>
      <c r="T24" s="220"/>
      <c r="U24" s="220"/>
      <c r="V24" s="220"/>
      <c r="W24" s="220"/>
      <c r="X24" s="220"/>
    </row>
    <row r="25" spans="1:24" ht="30" customHeight="1" x14ac:dyDescent="0.25">
      <c r="A25" s="227">
        <v>1990</v>
      </c>
      <c r="B25" s="227">
        <v>1989</v>
      </c>
      <c r="C25" s="220"/>
      <c r="D25" s="220"/>
      <c r="E25" s="220"/>
      <c r="F25" s="220"/>
      <c r="G25" s="220"/>
      <c r="H25" s="220"/>
      <c r="I25" s="220"/>
      <c r="J25" s="220"/>
      <c r="K25" s="220"/>
      <c r="L25" s="220"/>
      <c r="M25" s="220"/>
      <c r="N25" s="220"/>
      <c r="O25" s="220"/>
      <c r="P25" s="220"/>
      <c r="Q25" s="220"/>
      <c r="R25" s="220"/>
      <c r="S25" s="220"/>
      <c r="T25" s="220"/>
      <c r="U25" s="220"/>
      <c r="V25" s="220"/>
      <c r="W25" s="220"/>
      <c r="X25" s="220"/>
    </row>
    <row r="26" spans="1:24" ht="30" customHeight="1" x14ac:dyDescent="0.25">
      <c r="A26" s="227">
        <v>1989</v>
      </c>
      <c r="B26" s="227">
        <v>1988</v>
      </c>
      <c r="C26" s="220"/>
      <c r="D26" s="220"/>
      <c r="E26" s="220"/>
      <c r="F26" s="220"/>
      <c r="G26" s="220"/>
      <c r="H26" s="220"/>
      <c r="I26" s="220"/>
      <c r="J26" s="220"/>
      <c r="K26" s="220"/>
      <c r="L26" s="220"/>
      <c r="M26" s="220"/>
      <c r="N26" s="220"/>
      <c r="O26" s="220"/>
      <c r="P26" s="220"/>
      <c r="Q26" s="220"/>
      <c r="R26" s="220"/>
      <c r="S26" s="220"/>
      <c r="T26" s="220"/>
      <c r="U26" s="220"/>
      <c r="V26" s="220"/>
      <c r="W26" s="220"/>
      <c r="X26" s="220"/>
    </row>
    <row r="27" spans="1:24" ht="30" customHeight="1" x14ac:dyDescent="0.25">
      <c r="A27" s="227">
        <v>1988</v>
      </c>
      <c r="B27" s="227">
        <v>1987</v>
      </c>
      <c r="C27" s="220"/>
      <c r="D27" s="220"/>
      <c r="E27" s="220"/>
      <c r="F27" s="220"/>
      <c r="G27" s="220"/>
      <c r="H27" s="220"/>
      <c r="I27" s="220"/>
      <c r="J27" s="220"/>
      <c r="K27" s="220"/>
      <c r="L27" s="220"/>
      <c r="M27" s="220"/>
      <c r="N27" s="220"/>
      <c r="O27" s="220"/>
      <c r="P27" s="220"/>
      <c r="Q27" s="220"/>
      <c r="R27" s="220"/>
      <c r="S27" s="220"/>
      <c r="T27" s="220"/>
      <c r="U27" s="220"/>
      <c r="V27" s="220"/>
      <c r="W27" s="220"/>
      <c r="X27" s="220"/>
    </row>
    <row r="28" spans="1:24" ht="30" customHeight="1" x14ac:dyDescent="0.25">
      <c r="A28" s="227">
        <v>1987</v>
      </c>
      <c r="B28" s="227">
        <v>1986</v>
      </c>
      <c r="C28" s="220"/>
      <c r="D28" s="220"/>
      <c r="E28" s="220"/>
      <c r="F28" s="220"/>
      <c r="G28" s="220"/>
      <c r="H28" s="220"/>
      <c r="I28" s="220"/>
      <c r="J28" s="220"/>
      <c r="K28" s="220"/>
      <c r="L28" s="220"/>
      <c r="M28" s="220"/>
      <c r="N28" s="220"/>
      <c r="O28" s="220"/>
      <c r="P28" s="220"/>
      <c r="Q28" s="220"/>
      <c r="R28" s="220"/>
      <c r="S28" s="220"/>
      <c r="T28" s="220"/>
      <c r="U28" s="220"/>
      <c r="V28" s="220"/>
      <c r="W28" s="220"/>
      <c r="X28" s="220"/>
    </row>
    <row r="29" spans="1:24" ht="30" customHeight="1" x14ac:dyDescent="0.25">
      <c r="A29" s="227">
        <v>1986</v>
      </c>
      <c r="B29" s="227">
        <v>1985</v>
      </c>
      <c r="C29" s="220"/>
      <c r="D29" s="220"/>
      <c r="E29" s="220"/>
      <c r="F29" s="220"/>
      <c r="G29" s="220"/>
      <c r="H29" s="220"/>
      <c r="I29" s="220"/>
      <c r="J29" s="220"/>
      <c r="K29" s="220"/>
      <c r="L29" s="220"/>
      <c r="M29" s="220"/>
      <c r="N29" s="220"/>
      <c r="O29" s="220"/>
      <c r="P29" s="220"/>
      <c r="Q29" s="220"/>
      <c r="R29" s="220"/>
      <c r="S29" s="220"/>
      <c r="T29" s="220"/>
      <c r="U29" s="220"/>
      <c r="V29" s="220"/>
      <c r="W29" s="220"/>
      <c r="X29" s="220"/>
    </row>
    <row r="30" spans="1:24" ht="30" customHeight="1" x14ac:dyDescent="0.25">
      <c r="A30" s="227">
        <v>1985</v>
      </c>
      <c r="B30" s="227">
        <v>1984</v>
      </c>
      <c r="C30" s="220"/>
      <c r="D30" s="220"/>
      <c r="E30" s="220"/>
      <c r="F30" s="220"/>
      <c r="G30" s="220"/>
      <c r="H30" s="220"/>
      <c r="I30" s="220"/>
      <c r="J30" s="220"/>
      <c r="K30" s="220"/>
      <c r="L30" s="220"/>
      <c r="M30" s="220"/>
      <c r="N30" s="220"/>
      <c r="O30" s="220"/>
      <c r="P30" s="220"/>
      <c r="Q30" s="220"/>
      <c r="R30" s="220"/>
      <c r="S30" s="220"/>
      <c r="T30" s="220"/>
      <c r="U30" s="220"/>
      <c r="V30" s="220"/>
      <c r="W30" s="220"/>
      <c r="X30" s="220"/>
    </row>
    <row r="31" spans="1:24" ht="30" customHeight="1" x14ac:dyDescent="0.25">
      <c r="A31" s="227">
        <v>1984</v>
      </c>
      <c r="B31" s="227">
        <v>1983</v>
      </c>
      <c r="C31" s="220"/>
      <c r="D31" s="220"/>
      <c r="E31" s="220"/>
      <c r="F31" s="220"/>
      <c r="G31" s="220"/>
      <c r="H31" s="220"/>
      <c r="I31" s="220"/>
      <c r="J31" s="220"/>
      <c r="K31" s="220"/>
      <c r="L31" s="220"/>
      <c r="M31" s="220"/>
      <c r="N31" s="220"/>
      <c r="O31" s="220"/>
      <c r="P31" s="220"/>
      <c r="Q31" s="220"/>
      <c r="R31" s="220"/>
      <c r="S31" s="220"/>
      <c r="T31" s="220"/>
      <c r="U31" s="220"/>
      <c r="V31" s="220"/>
      <c r="W31" s="220"/>
      <c r="X31" s="220"/>
    </row>
    <row r="32" spans="1:24" ht="30" customHeight="1" x14ac:dyDescent="0.25">
      <c r="A32" s="227">
        <v>1983</v>
      </c>
      <c r="B32" s="227">
        <v>1982</v>
      </c>
      <c r="C32" s="220"/>
      <c r="D32" s="220"/>
      <c r="E32" s="220"/>
      <c r="F32" s="220"/>
      <c r="G32" s="220"/>
      <c r="H32" s="220"/>
      <c r="I32" s="220"/>
      <c r="J32" s="220"/>
      <c r="K32" s="220"/>
      <c r="L32" s="220"/>
      <c r="M32" s="220"/>
      <c r="N32" s="220"/>
      <c r="O32" s="220"/>
      <c r="P32" s="220"/>
      <c r="Q32" s="220"/>
      <c r="R32" s="220"/>
      <c r="S32" s="220"/>
      <c r="T32" s="220"/>
      <c r="U32" s="220"/>
      <c r="V32" s="220"/>
      <c r="W32" s="220"/>
      <c r="X32" s="220"/>
    </row>
    <row r="33" spans="1:24" ht="30" customHeight="1" x14ac:dyDescent="0.25">
      <c r="A33" s="227">
        <v>1982</v>
      </c>
      <c r="B33" s="227">
        <v>1981</v>
      </c>
      <c r="C33" s="220"/>
      <c r="D33" s="220"/>
      <c r="E33" s="220"/>
      <c r="F33" s="220"/>
      <c r="G33" s="220"/>
      <c r="H33" s="220"/>
      <c r="I33" s="220"/>
      <c r="J33" s="220"/>
      <c r="K33" s="220"/>
      <c r="L33" s="220"/>
      <c r="M33" s="220"/>
      <c r="N33" s="220"/>
      <c r="O33" s="220"/>
      <c r="P33" s="220"/>
      <c r="Q33" s="220"/>
      <c r="R33" s="220"/>
      <c r="S33" s="220"/>
      <c r="T33" s="220"/>
      <c r="U33" s="220"/>
      <c r="V33" s="220"/>
      <c r="W33" s="220"/>
      <c r="X33" s="220"/>
    </row>
    <row r="34" spans="1:24" ht="30" customHeight="1" x14ac:dyDescent="0.25">
      <c r="A34" s="227">
        <v>1981</v>
      </c>
      <c r="B34" s="227">
        <v>1980</v>
      </c>
      <c r="C34" s="220"/>
      <c r="D34" s="220"/>
      <c r="E34" s="220"/>
      <c r="F34" s="220"/>
      <c r="G34" s="220"/>
      <c r="H34" s="220"/>
      <c r="I34" s="220"/>
      <c r="J34" s="220"/>
      <c r="K34" s="220"/>
      <c r="L34" s="220"/>
      <c r="M34" s="220"/>
      <c r="N34" s="220"/>
      <c r="O34" s="220"/>
      <c r="P34" s="220"/>
      <c r="Q34" s="220"/>
      <c r="R34" s="220"/>
      <c r="S34" s="220"/>
      <c r="T34" s="220"/>
      <c r="U34" s="220"/>
      <c r="V34" s="220"/>
      <c r="W34" s="220"/>
      <c r="X34" s="220"/>
    </row>
    <row r="35" spans="1:24" ht="30" customHeight="1" x14ac:dyDescent="0.25">
      <c r="A35" s="227">
        <v>1980</v>
      </c>
      <c r="B35" s="227">
        <v>1979</v>
      </c>
      <c r="C35" s="220"/>
      <c r="D35" s="220"/>
      <c r="E35" s="220"/>
      <c r="F35" s="220"/>
      <c r="G35" s="220"/>
      <c r="H35" s="220"/>
      <c r="I35" s="220"/>
      <c r="J35" s="220"/>
      <c r="K35" s="220"/>
      <c r="L35" s="220"/>
      <c r="M35" s="220"/>
      <c r="N35" s="220"/>
      <c r="O35" s="220"/>
      <c r="P35" s="220"/>
      <c r="Q35" s="220"/>
      <c r="R35" s="220"/>
      <c r="S35" s="220"/>
      <c r="T35" s="220"/>
      <c r="U35" s="220"/>
      <c r="V35" s="220"/>
      <c r="W35" s="220"/>
      <c r="X35" s="220"/>
    </row>
    <row r="36" spans="1:24" ht="30" customHeight="1" x14ac:dyDescent="0.25">
      <c r="A36" s="227">
        <v>1979</v>
      </c>
      <c r="B36" s="227">
        <v>1978</v>
      </c>
      <c r="C36" s="220"/>
      <c r="D36" s="220"/>
      <c r="E36" s="220"/>
      <c r="F36" s="220"/>
      <c r="G36" s="220"/>
      <c r="H36" s="220"/>
      <c r="I36" s="220"/>
      <c r="J36" s="220"/>
      <c r="K36" s="220"/>
      <c r="L36" s="220"/>
      <c r="M36" s="220"/>
      <c r="N36" s="220"/>
      <c r="O36" s="220"/>
      <c r="P36" s="220"/>
      <c r="Q36" s="220"/>
      <c r="R36" s="220"/>
      <c r="S36" s="220"/>
      <c r="T36" s="220"/>
      <c r="U36" s="220"/>
      <c r="V36" s="220"/>
      <c r="W36" s="220"/>
      <c r="X36" s="220"/>
    </row>
    <row r="37" spans="1:24" ht="30" customHeight="1" x14ac:dyDescent="0.25">
      <c r="A37" s="227">
        <v>1978</v>
      </c>
      <c r="B37" s="227">
        <v>1977</v>
      </c>
      <c r="C37" s="220"/>
      <c r="D37" s="220"/>
      <c r="E37" s="220"/>
      <c r="F37" s="220"/>
      <c r="G37" s="220"/>
      <c r="H37" s="220"/>
      <c r="I37" s="220"/>
      <c r="J37" s="220"/>
      <c r="K37" s="220"/>
      <c r="L37" s="220"/>
      <c r="M37" s="220"/>
      <c r="N37" s="220"/>
      <c r="O37" s="220"/>
      <c r="P37" s="220"/>
      <c r="Q37" s="220"/>
      <c r="R37" s="220"/>
      <c r="S37" s="220"/>
      <c r="T37" s="220"/>
      <c r="U37" s="220"/>
      <c r="V37" s="220"/>
      <c r="W37" s="220"/>
      <c r="X37" s="220"/>
    </row>
    <row r="38" spans="1:24" ht="30" customHeight="1" x14ac:dyDescent="0.25">
      <c r="A38" s="227">
        <v>1977</v>
      </c>
      <c r="B38" s="227">
        <v>1976</v>
      </c>
      <c r="C38" s="220"/>
      <c r="D38" s="220"/>
      <c r="E38" s="220"/>
      <c r="F38" s="220"/>
      <c r="G38" s="220"/>
      <c r="H38" s="220"/>
      <c r="I38" s="220"/>
      <c r="J38" s="220"/>
      <c r="K38" s="220"/>
      <c r="L38" s="220"/>
      <c r="M38" s="220"/>
      <c r="N38" s="220"/>
      <c r="O38" s="220"/>
      <c r="P38" s="220"/>
      <c r="Q38" s="220"/>
      <c r="R38" s="220"/>
      <c r="S38" s="220"/>
      <c r="T38" s="220"/>
      <c r="U38" s="220"/>
      <c r="V38" s="220"/>
      <c r="W38" s="220"/>
      <c r="X38" s="220"/>
    </row>
    <row r="39" spans="1:24" ht="30" customHeight="1" x14ac:dyDescent="0.25">
      <c r="A39" s="227">
        <v>1976</v>
      </c>
      <c r="B39" s="227">
        <v>1975</v>
      </c>
      <c r="C39" s="220"/>
      <c r="D39" s="220"/>
      <c r="E39" s="220"/>
      <c r="F39" s="220"/>
      <c r="G39" s="220"/>
      <c r="H39" s="220"/>
      <c r="I39" s="220"/>
      <c r="J39" s="220"/>
      <c r="K39" s="220"/>
      <c r="L39" s="220"/>
      <c r="M39" s="220"/>
      <c r="N39" s="220"/>
      <c r="O39" s="220"/>
      <c r="P39" s="220"/>
      <c r="Q39" s="220"/>
      <c r="R39" s="220"/>
      <c r="S39" s="220"/>
      <c r="T39" s="220"/>
      <c r="U39" s="220"/>
      <c r="V39" s="220"/>
      <c r="W39" s="220"/>
      <c r="X39" s="220"/>
    </row>
    <row r="40" spans="1:24" ht="30" customHeight="1" x14ac:dyDescent="0.25">
      <c r="A40" s="227">
        <v>1975</v>
      </c>
      <c r="B40" s="227">
        <v>1974</v>
      </c>
      <c r="C40" s="220"/>
      <c r="D40" s="220"/>
      <c r="E40" s="220"/>
      <c r="F40" s="220"/>
      <c r="G40" s="220"/>
      <c r="H40" s="220"/>
      <c r="I40" s="220"/>
      <c r="J40" s="220"/>
      <c r="K40" s="220"/>
      <c r="L40" s="220"/>
      <c r="M40" s="220"/>
      <c r="N40" s="220"/>
      <c r="O40" s="220"/>
      <c r="P40" s="220"/>
      <c r="Q40" s="220"/>
      <c r="R40" s="220"/>
      <c r="S40" s="220"/>
      <c r="T40" s="220"/>
      <c r="U40" s="220"/>
      <c r="V40" s="220"/>
      <c r="W40" s="220"/>
      <c r="X40" s="220"/>
    </row>
    <row r="41" spans="1:24" ht="30" customHeight="1" x14ac:dyDescent="0.25">
      <c r="A41" s="227">
        <v>1974</v>
      </c>
      <c r="B41" s="227">
        <v>1973</v>
      </c>
      <c r="C41" s="220"/>
      <c r="D41" s="220"/>
      <c r="E41" s="220"/>
      <c r="F41" s="220"/>
      <c r="G41" s="220"/>
      <c r="H41" s="220"/>
      <c r="I41" s="220"/>
      <c r="J41" s="220"/>
      <c r="K41" s="220"/>
      <c r="L41" s="220"/>
      <c r="M41" s="220"/>
      <c r="N41" s="220"/>
      <c r="O41" s="220"/>
      <c r="P41" s="220"/>
      <c r="Q41" s="220"/>
      <c r="R41" s="220"/>
      <c r="S41" s="220"/>
      <c r="T41" s="220"/>
      <c r="U41" s="220"/>
      <c r="V41" s="220"/>
      <c r="W41" s="220"/>
      <c r="X41" s="220"/>
    </row>
    <row r="42" spans="1:24" ht="30" customHeight="1" x14ac:dyDescent="0.25">
      <c r="A42" s="227">
        <v>1973</v>
      </c>
      <c r="B42" s="227">
        <v>1972</v>
      </c>
      <c r="C42" s="220"/>
      <c r="D42" s="220"/>
      <c r="E42" s="220"/>
      <c r="F42" s="220"/>
      <c r="G42" s="220"/>
      <c r="H42" s="220"/>
      <c r="I42" s="220"/>
      <c r="J42" s="220"/>
      <c r="K42" s="220"/>
      <c r="L42" s="220"/>
      <c r="M42" s="220"/>
      <c r="N42" s="220"/>
      <c r="O42" s="220"/>
      <c r="P42" s="220"/>
      <c r="Q42" s="220"/>
      <c r="R42" s="220"/>
      <c r="S42" s="220"/>
      <c r="T42" s="220"/>
      <c r="U42" s="220"/>
      <c r="V42" s="220"/>
      <c r="W42" s="220"/>
      <c r="X42" s="220"/>
    </row>
    <row r="43" spans="1:24" ht="30" customHeight="1" x14ac:dyDescent="0.25">
      <c r="A43" s="227">
        <v>1972</v>
      </c>
      <c r="B43" s="227">
        <v>1971</v>
      </c>
      <c r="C43" s="220"/>
      <c r="D43" s="220"/>
      <c r="E43" s="220"/>
      <c r="F43" s="220"/>
      <c r="G43" s="220"/>
      <c r="H43" s="220"/>
      <c r="I43" s="220"/>
      <c r="J43" s="220"/>
      <c r="K43" s="220"/>
      <c r="L43" s="220"/>
      <c r="M43" s="220"/>
      <c r="N43" s="220"/>
      <c r="O43" s="220"/>
      <c r="P43" s="220"/>
      <c r="Q43" s="220"/>
      <c r="R43" s="220"/>
      <c r="S43" s="220"/>
      <c r="T43" s="220"/>
      <c r="U43" s="220"/>
      <c r="V43" s="220"/>
      <c r="W43" s="220"/>
      <c r="X43" s="220"/>
    </row>
    <row r="44" spans="1:24" ht="30" customHeight="1" x14ac:dyDescent="0.25">
      <c r="A44" s="227">
        <v>1971</v>
      </c>
      <c r="B44" s="227">
        <v>1970</v>
      </c>
      <c r="C44" s="220"/>
      <c r="D44" s="220"/>
      <c r="E44" s="220"/>
      <c r="F44" s="220"/>
      <c r="G44" s="220"/>
      <c r="H44" s="220"/>
      <c r="I44" s="220"/>
      <c r="J44" s="220"/>
      <c r="K44" s="220"/>
      <c r="L44" s="220"/>
      <c r="M44" s="220"/>
      <c r="N44" s="220"/>
      <c r="O44" s="220"/>
      <c r="P44" s="220"/>
      <c r="Q44" s="220"/>
      <c r="R44" s="220"/>
      <c r="S44" s="220"/>
      <c r="T44" s="220"/>
      <c r="U44" s="220"/>
      <c r="V44" s="220"/>
      <c r="W44" s="220"/>
      <c r="X44" s="220"/>
    </row>
    <row r="45" spans="1:24" ht="30" customHeight="1" x14ac:dyDescent="0.25">
      <c r="A45" s="227">
        <v>1970</v>
      </c>
      <c r="B45" s="227">
        <v>1969</v>
      </c>
      <c r="C45" s="220"/>
      <c r="D45" s="220"/>
      <c r="E45" s="220"/>
      <c r="F45" s="220"/>
      <c r="G45" s="220"/>
      <c r="H45" s="220"/>
      <c r="I45" s="220"/>
      <c r="J45" s="220"/>
      <c r="K45" s="220"/>
      <c r="L45" s="220"/>
      <c r="M45" s="220"/>
      <c r="N45" s="220"/>
      <c r="O45" s="220"/>
      <c r="P45" s="220"/>
      <c r="Q45" s="220"/>
      <c r="R45" s="220"/>
      <c r="S45" s="220"/>
      <c r="T45" s="220"/>
      <c r="U45" s="220"/>
      <c r="V45" s="220"/>
      <c r="W45" s="220"/>
      <c r="X45" s="220"/>
    </row>
    <row r="46" spans="1:24" ht="30" customHeight="1" x14ac:dyDescent="0.25">
      <c r="A46" s="227">
        <v>1969</v>
      </c>
      <c r="B46" s="227">
        <v>1968</v>
      </c>
      <c r="C46" s="220"/>
      <c r="D46" s="220"/>
      <c r="E46" s="220"/>
      <c r="F46" s="220"/>
      <c r="G46" s="220"/>
      <c r="H46" s="220"/>
      <c r="I46" s="220"/>
      <c r="J46" s="220"/>
      <c r="K46" s="220"/>
      <c r="L46" s="220"/>
      <c r="M46" s="220"/>
      <c r="N46" s="220"/>
      <c r="O46" s="220"/>
      <c r="P46" s="220"/>
      <c r="Q46" s="220"/>
      <c r="R46" s="220"/>
      <c r="S46" s="220"/>
      <c r="T46" s="220"/>
      <c r="U46" s="220"/>
      <c r="V46" s="220"/>
      <c r="W46" s="220"/>
      <c r="X46" s="220"/>
    </row>
    <row r="47" spans="1:24" ht="30" customHeight="1" x14ac:dyDescent="0.25">
      <c r="A47" s="227">
        <v>1968</v>
      </c>
      <c r="B47" s="227">
        <v>1967</v>
      </c>
      <c r="C47" s="220"/>
      <c r="D47" s="220"/>
      <c r="E47" s="220"/>
      <c r="F47" s="220"/>
      <c r="G47" s="220"/>
      <c r="H47" s="220"/>
      <c r="I47" s="220"/>
      <c r="J47" s="220"/>
      <c r="K47" s="220"/>
      <c r="L47" s="220"/>
      <c r="M47" s="220"/>
      <c r="N47" s="220"/>
      <c r="O47" s="220"/>
      <c r="P47" s="220"/>
      <c r="Q47" s="220"/>
      <c r="R47" s="220"/>
      <c r="S47" s="220"/>
      <c r="T47" s="220"/>
      <c r="U47" s="220"/>
      <c r="V47" s="220"/>
      <c r="W47" s="220"/>
      <c r="X47" s="220"/>
    </row>
    <row r="48" spans="1:24" ht="30" customHeight="1" x14ac:dyDescent="0.25">
      <c r="A48" s="227">
        <v>1967</v>
      </c>
      <c r="B48" s="227">
        <v>1966</v>
      </c>
      <c r="C48" s="220"/>
      <c r="D48" s="220"/>
      <c r="E48" s="220"/>
      <c r="F48" s="220"/>
      <c r="G48" s="220"/>
      <c r="H48" s="220"/>
      <c r="I48" s="220"/>
      <c r="J48" s="220"/>
      <c r="K48" s="220"/>
      <c r="L48" s="220"/>
      <c r="M48" s="220"/>
      <c r="N48" s="220"/>
      <c r="O48" s="220"/>
      <c r="P48" s="220"/>
      <c r="Q48" s="220"/>
      <c r="R48" s="220"/>
      <c r="S48" s="220"/>
      <c r="T48" s="220"/>
      <c r="U48" s="220"/>
      <c r="V48" s="220"/>
      <c r="W48" s="220"/>
      <c r="X48" s="220"/>
    </row>
    <row r="49" spans="1:24" ht="30" customHeight="1" x14ac:dyDescent="0.25">
      <c r="A49" s="227">
        <v>1966</v>
      </c>
      <c r="B49" s="227">
        <v>1965</v>
      </c>
      <c r="C49" s="220"/>
      <c r="D49" s="220"/>
      <c r="E49" s="220"/>
      <c r="F49" s="220"/>
      <c r="G49" s="220"/>
      <c r="H49" s="220"/>
      <c r="I49" s="220"/>
      <c r="J49" s="220"/>
      <c r="K49" s="220"/>
      <c r="L49" s="220"/>
      <c r="M49" s="220"/>
      <c r="N49" s="220"/>
      <c r="O49" s="220"/>
      <c r="P49" s="220"/>
      <c r="Q49" s="220"/>
      <c r="R49" s="220"/>
      <c r="S49" s="220"/>
      <c r="T49" s="220"/>
      <c r="U49" s="220"/>
      <c r="V49" s="220"/>
      <c r="W49" s="220"/>
      <c r="X49" s="220"/>
    </row>
    <row r="50" spans="1:24" ht="30" customHeight="1" x14ac:dyDescent="0.25">
      <c r="A50" s="227">
        <v>1965</v>
      </c>
      <c r="B50" s="227">
        <v>1964</v>
      </c>
      <c r="C50" s="220"/>
      <c r="D50" s="220"/>
      <c r="E50" s="220"/>
      <c r="F50" s="220"/>
      <c r="G50" s="220"/>
      <c r="H50" s="220"/>
      <c r="I50" s="220"/>
      <c r="J50" s="220"/>
      <c r="K50" s="220"/>
      <c r="L50" s="220"/>
      <c r="M50" s="220"/>
      <c r="N50" s="220"/>
      <c r="O50" s="220"/>
      <c r="P50" s="220"/>
      <c r="Q50" s="220"/>
      <c r="R50" s="220"/>
      <c r="S50" s="220"/>
      <c r="T50" s="220"/>
      <c r="U50" s="220"/>
      <c r="V50" s="220"/>
      <c r="W50" s="220"/>
      <c r="X50" s="220"/>
    </row>
    <row r="51" spans="1:24" ht="30" customHeight="1" x14ac:dyDescent="0.25">
      <c r="A51" s="227">
        <v>1964</v>
      </c>
      <c r="B51" s="227">
        <v>1963</v>
      </c>
      <c r="C51" s="220"/>
      <c r="D51" s="220"/>
      <c r="E51" s="220"/>
      <c r="F51" s="220"/>
      <c r="G51" s="220"/>
      <c r="H51" s="220"/>
      <c r="I51" s="220"/>
      <c r="J51" s="220"/>
      <c r="K51" s="220"/>
      <c r="L51" s="220"/>
      <c r="M51" s="220"/>
      <c r="N51" s="220"/>
      <c r="O51" s="220"/>
      <c r="P51" s="220"/>
      <c r="Q51" s="220"/>
      <c r="R51" s="220"/>
      <c r="S51" s="220"/>
      <c r="T51" s="220"/>
      <c r="U51" s="220"/>
      <c r="V51" s="220"/>
      <c r="W51" s="220"/>
      <c r="X51" s="220"/>
    </row>
    <row r="52" spans="1:24" ht="30" customHeight="1" x14ac:dyDescent="0.25">
      <c r="A52" s="227">
        <v>1963</v>
      </c>
      <c r="B52" s="227">
        <v>1962</v>
      </c>
      <c r="C52" s="220"/>
      <c r="D52" s="220"/>
      <c r="E52" s="220"/>
      <c r="F52" s="220"/>
      <c r="G52" s="220"/>
      <c r="H52" s="220"/>
      <c r="I52" s="220"/>
      <c r="J52" s="220"/>
      <c r="K52" s="220"/>
      <c r="L52" s="220"/>
      <c r="M52" s="220"/>
      <c r="N52" s="220"/>
      <c r="O52" s="220"/>
      <c r="P52" s="220"/>
      <c r="Q52" s="220"/>
      <c r="R52" s="220"/>
      <c r="S52" s="220"/>
      <c r="T52" s="220"/>
      <c r="U52" s="220"/>
      <c r="V52" s="220"/>
      <c r="W52" s="220"/>
      <c r="X52" s="220"/>
    </row>
    <row r="53" spans="1:24" ht="30" customHeight="1" x14ac:dyDescent="0.25">
      <c r="A53" s="227">
        <v>1962</v>
      </c>
      <c r="B53" s="227">
        <v>1961</v>
      </c>
      <c r="C53" s="220"/>
      <c r="D53" s="220"/>
      <c r="E53" s="220"/>
      <c r="F53" s="220"/>
      <c r="G53" s="220"/>
      <c r="H53" s="220"/>
      <c r="I53" s="220"/>
      <c r="J53" s="220"/>
      <c r="K53" s="220"/>
      <c r="L53" s="220"/>
      <c r="M53" s="220"/>
      <c r="N53" s="220"/>
      <c r="O53" s="220"/>
      <c r="P53" s="220"/>
      <c r="Q53" s="220"/>
      <c r="R53" s="220"/>
      <c r="S53" s="220"/>
      <c r="T53" s="220"/>
      <c r="U53" s="220"/>
      <c r="V53" s="220"/>
      <c r="W53" s="220"/>
      <c r="X53" s="220"/>
    </row>
    <row r="54" spans="1:24" ht="30" customHeight="1" x14ac:dyDescent="0.25">
      <c r="A54" s="227">
        <v>1961</v>
      </c>
      <c r="B54" s="227">
        <v>1960</v>
      </c>
      <c r="C54" s="220"/>
      <c r="D54" s="220"/>
      <c r="E54" s="220"/>
      <c r="F54" s="220"/>
      <c r="G54" s="220"/>
      <c r="H54" s="220"/>
      <c r="I54" s="220"/>
      <c r="J54" s="220"/>
      <c r="K54" s="220"/>
      <c r="L54" s="220"/>
      <c r="M54" s="220"/>
      <c r="N54" s="220"/>
      <c r="O54" s="220"/>
      <c r="P54" s="220"/>
      <c r="Q54" s="220"/>
      <c r="R54" s="220"/>
      <c r="S54" s="220"/>
      <c r="T54" s="220"/>
      <c r="U54" s="220"/>
      <c r="V54" s="220"/>
      <c r="W54" s="220"/>
      <c r="X54" s="220"/>
    </row>
    <row r="55" spans="1:24" ht="30" customHeight="1" x14ac:dyDescent="0.25">
      <c r="A55" s="227">
        <v>1960</v>
      </c>
      <c r="B55" s="227">
        <v>1959</v>
      </c>
      <c r="C55" s="220"/>
      <c r="D55" s="220"/>
      <c r="E55" s="220"/>
      <c r="F55" s="220"/>
      <c r="G55" s="220"/>
      <c r="H55" s="220"/>
      <c r="I55" s="220"/>
      <c r="J55" s="220"/>
      <c r="K55" s="220"/>
      <c r="L55" s="220"/>
      <c r="M55" s="220"/>
      <c r="N55" s="220"/>
      <c r="O55" s="220"/>
      <c r="P55" s="220"/>
      <c r="Q55" s="220"/>
      <c r="R55" s="220"/>
      <c r="S55" s="220"/>
      <c r="T55" s="220"/>
      <c r="U55" s="220"/>
      <c r="V55" s="220"/>
      <c r="W55" s="220"/>
      <c r="X55" s="220"/>
    </row>
    <row r="56" spans="1:24" ht="30" customHeight="1" x14ac:dyDescent="0.25">
      <c r="A56" s="227">
        <v>1959</v>
      </c>
      <c r="B56" s="227">
        <v>1958</v>
      </c>
      <c r="C56" s="220"/>
      <c r="D56" s="220"/>
      <c r="E56" s="220"/>
      <c r="F56" s="220"/>
      <c r="G56" s="220"/>
      <c r="H56" s="220"/>
      <c r="I56" s="220"/>
      <c r="J56" s="220"/>
      <c r="K56" s="220"/>
      <c r="L56" s="220"/>
      <c r="M56" s="220"/>
      <c r="N56" s="220"/>
      <c r="O56" s="220"/>
      <c r="P56" s="220"/>
      <c r="Q56" s="220"/>
      <c r="R56" s="220"/>
      <c r="S56" s="220"/>
      <c r="T56" s="220"/>
      <c r="U56" s="220"/>
      <c r="V56" s="220"/>
      <c r="W56" s="220"/>
      <c r="X56" s="220"/>
    </row>
    <row r="57" spans="1:24" ht="30" customHeight="1" x14ac:dyDescent="0.25">
      <c r="A57" s="227">
        <v>1958</v>
      </c>
      <c r="B57" s="227">
        <v>1957</v>
      </c>
      <c r="C57" s="220"/>
      <c r="D57" s="220"/>
      <c r="E57" s="220"/>
      <c r="F57" s="220"/>
      <c r="G57" s="220"/>
      <c r="H57" s="220"/>
      <c r="I57" s="220"/>
      <c r="J57" s="220"/>
      <c r="K57" s="220"/>
      <c r="L57" s="220"/>
      <c r="M57" s="220"/>
      <c r="N57" s="220"/>
      <c r="O57" s="220"/>
      <c r="P57" s="220"/>
      <c r="Q57" s="220"/>
      <c r="R57" s="220"/>
      <c r="S57" s="220"/>
      <c r="T57" s="220"/>
      <c r="U57" s="220"/>
      <c r="V57" s="220"/>
      <c r="W57" s="220"/>
      <c r="X57" s="220"/>
    </row>
    <row r="58" spans="1:24" ht="30" customHeight="1" x14ac:dyDescent="0.25">
      <c r="A58" s="227">
        <v>1957</v>
      </c>
      <c r="B58" s="227">
        <v>1956</v>
      </c>
      <c r="C58" s="220"/>
      <c r="D58" s="220"/>
      <c r="E58" s="220"/>
      <c r="F58" s="220"/>
      <c r="G58" s="220"/>
      <c r="H58" s="220"/>
      <c r="I58" s="220"/>
      <c r="J58" s="220"/>
      <c r="K58" s="220"/>
      <c r="L58" s="220"/>
      <c r="M58" s="220"/>
      <c r="N58" s="220"/>
      <c r="O58" s="220"/>
      <c r="P58" s="220"/>
      <c r="Q58" s="220"/>
      <c r="R58" s="220"/>
      <c r="S58" s="220"/>
      <c r="T58" s="220"/>
      <c r="U58" s="220"/>
      <c r="V58" s="220"/>
      <c r="W58" s="220"/>
      <c r="X58" s="220"/>
    </row>
    <row r="59" spans="1:24" ht="30" customHeight="1" x14ac:dyDescent="0.25">
      <c r="A59" s="227">
        <v>1956</v>
      </c>
      <c r="B59" s="227">
        <v>1955</v>
      </c>
      <c r="C59" s="220"/>
      <c r="D59" s="220"/>
      <c r="E59" s="220"/>
      <c r="F59" s="220"/>
      <c r="G59" s="220"/>
      <c r="H59" s="220"/>
      <c r="I59" s="220"/>
      <c r="J59" s="220"/>
      <c r="K59" s="220"/>
      <c r="L59" s="220"/>
      <c r="M59" s="220"/>
      <c r="N59" s="220"/>
      <c r="O59" s="220"/>
      <c r="P59" s="220"/>
      <c r="Q59" s="220"/>
      <c r="R59" s="220"/>
      <c r="S59" s="220"/>
      <c r="T59" s="220"/>
      <c r="U59" s="220"/>
      <c r="V59" s="220"/>
      <c r="W59" s="220"/>
      <c r="X59" s="220"/>
    </row>
    <row r="60" spans="1:24" ht="30" customHeight="1" x14ac:dyDescent="0.25">
      <c r="A60" s="227">
        <v>1955</v>
      </c>
      <c r="B60" s="227">
        <v>1954</v>
      </c>
      <c r="C60" s="220"/>
      <c r="D60" s="220"/>
      <c r="E60" s="220"/>
      <c r="F60" s="220"/>
      <c r="G60" s="220"/>
      <c r="H60" s="220"/>
      <c r="I60" s="220"/>
      <c r="J60" s="220"/>
      <c r="K60" s="220"/>
      <c r="L60" s="220"/>
      <c r="M60" s="220"/>
      <c r="N60" s="220"/>
      <c r="O60" s="220"/>
      <c r="P60" s="220"/>
      <c r="Q60" s="220"/>
      <c r="R60" s="220"/>
      <c r="S60" s="220"/>
      <c r="T60" s="220"/>
      <c r="U60" s="220"/>
      <c r="V60" s="220"/>
      <c r="W60" s="220"/>
      <c r="X60" s="220"/>
    </row>
    <row r="61" spans="1:24" ht="30" customHeight="1" x14ac:dyDescent="0.25">
      <c r="A61" s="227">
        <v>1954</v>
      </c>
      <c r="B61" s="227">
        <v>1953</v>
      </c>
      <c r="C61" s="220"/>
      <c r="D61" s="220"/>
      <c r="E61" s="220"/>
      <c r="F61" s="220"/>
      <c r="G61" s="220"/>
      <c r="H61" s="220"/>
      <c r="I61" s="220"/>
      <c r="J61" s="220"/>
      <c r="K61" s="220"/>
      <c r="L61" s="220"/>
      <c r="M61" s="220"/>
      <c r="N61" s="220"/>
      <c r="O61" s="220"/>
      <c r="P61" s="220"/>
      <c r="Q61" s="220"/>
      <c r="R61" s="220"/>
      <c r="S61" s="220"/>
      <c r="T61" s="220"/>
      <c r="U61" s="220"/>
      <c r="V61" s="220"/>
      <c r="W61" s="220"/>
      <c r="X61" s="220"/>
    </row>
    <row r="62" spans="1:24" ht="30" customHeight="1" x14ac:dyDescent="0.25">
      <c r="A62" s="227">
        <v>1953</v>
      </c>
      <c r="B62" s="227">
        <v>1952</v>
      </c>
      <c r="C62" s="220"/>
      <c r="D62" s="220"/>
      <c r="E62" s="220"/>
      <c r="F62" s="220"/>
      <c r="G62" s="220"/>
      <c r="H62" s="220"/>
      <c r="I62" s="220"/>
      <c r="J62" s="220"/>
      <c r="K62" s="220"/>
      <c r="L62" s="220"/>
      <c r="M62" s="220"/>
      <c r="N62" s="220"/>
      <c r="O62" s="220"/>
      <c r="P62" s="220"/>
      <c r="Q62" s="220"/>
      <c r="R62" s="220"/>
      <c r="S62" s="220"/>
      <c r="T62" s="220"/>
      <c r="U62" s="220"/>
      <c r="V62" s="220"/>
      <c r="W62" s="220"/>
      <c r="X62" s="220"/>
    </row>
    <row r="63" spans="1:24" ht="30" customHeight="1" x14ac:dyDescent="0.25">
      <c r="A63" s="227">
        <v>1952</v>
      </c>
      <c r="B63" s="227">
        <v>1951</v>
      </c>
      <c r="C63" s="220"/>
      <c r="D63" s="220"/>
      <c r="E63" s="220"/>
      <c r="F63" s="220"/>
      <c r="G63" s="220"/>
      <c r="H63" s="220"/>
      <c r="I63" s="220"/>
      <c r="J63" s="220"/>
      <c r="K63" s="220"/>
      <c r="L63" s="220"/>
      <c r="M63" s="220"/>
      <c r="N63" s="220"/>
      <c r="O63" s="220"/>
      <c r="P63" s="220"/>
      <c r="Q63" s="220"/>
      <c r="R63" s="220"/>
      <c r="S63" s="220"/>
      <c r="T63" s="220"/>
      <c r="U63" s="220"/>
      <c r="V63" s="220"/>
      <c r="W63" s="220"/>
      <c r="X63" s="220"/>
    </row>
    <row r="64" spans="1:24" ht="30" customHeight="1" x14ac:dyDescent="0.25">
      <c r="A64" s="227">
        <v>1951</v>
      </c>
      <c r="B64" s="227">
        <v>1950</v>
      </c>
      <c r="C64" s="220"/>
      <c r="D64" s="220"/>
      <c r="E64" s="220"/>
      <c r="F64" s="220"/>
      <c r="G64" s="220"/>
      <c r="H64" s="220"/>
      <c r="I64" s="220"/>
      <c r="J64" s="220"/>
      <c r="K64" s="220"/>
      <c r="L64" s="220"/>
      <c r="M64" s="220"/>
      <c r="N64" s="220"/>
      <c r="O64" s="220"/>
      <c r="P64" s="220"/>
      <c r="Q64" s="220"/>
      <c r="R64" s="220"/>
      <c r="S64" s="220"/>
      <c r="T64" s="220"/>
      <c r="U64" s="220"/>
      <c r="V64" s="220"/>
      <c r="W64" s="220"/>
      <c r="X64" s="220"/>
    </row>
    <row r="65" spans="1:24" ht="30" customHeight="1" x14ac:dyDescent="0.25">
      <c r="A65" s="227">
        <v>1950</v>
      </c>
      <c r="B65" s="227">
        <v>1949</v>
      </c>
      <c r="C65" s="220"/>
      <c r="D65" s="220"/>
      <c r="E65" s="220"/>
      <c r="F65" s="220"/>
      <c r="G65" s="220"/>
      <c r="H65" s="220"/>
      <c r="I65" s="220"/>
      <c r="J65" s="220"/>
      <c r="K65" s="220"/>
      <c r="L65" s="220"/>
      <c r="M65" s="220"/>
      <c r="N65" s="220"/>
      <c r="O65" s="220"/>
      <c r="P65" s="220"/>
      <c r="Q65" s="220"/>
      <c r="R65" s="220"/>
      <c r="S65" s="220"/>
      <c r="T65" s="220"/>
      <c r="U65" s="220"/>
      <c r="V65" s="220"/>
      <c r="W65" s="220"/>
      <c r="X65" s="220"/>
    </row>
    <row r="66" spans="1:24" ht="30" customHeight="1" x14ac:dyDescent="0.25">
      <c r="A66" s="227">
        <v>1949</v>
      </c>
      <c r="B66" s="227">
        <v>1948</v>
      </c>
      <c r="C66" s="220"/>
      <c r="D66" s="220"/>
      <c r="E66" s="220"/>
      <c r="F66" s="220"/>
      <c r="G66" s="220"/>
      <c r="H66" s="220"/>
      <c r="I66" s="220"/>
      <c r="J66" s="220"/>
      <c r="K66" s="220"/>
      <c r="L66" s="220"/>
      <c r="M66" s="220"/>
      <c r="N66" s="220"/>
      <c r="O66" s="220"/>
      <c r="P66" s="220"/>
      <c r="Q66" s="220"/>
      <c r="R66" s="220"/>
      <c r="S66" s="220"/>
      <c r="T66" s="220"/>
      <c r="U66" s="220"/>
      <c r="V66" s="220"/>
      <c r="W66" s="220"/>
      <c r="X66" s="220"/>
    </row>
    <row r="67" spans="1:24" ht="30" customHeight="1" x14ac:dyDescent="0.25">
      <c r="A67" s="227">
        <v>1948</v>
      </c>
      <c r="B67" s="227">
        <v>1947</v>
      </c>
      <c r="C67" s="220"/>
      <c r="D67" s="220"/>
      <c r="E67" s="220"/>
      <c r="F67" s="220"/>
      <c r="G67" s="220"/>
      <c r="H67" s="220"/>
      <c r="I67" s="220"/>
      <c r="J67" s="220"/>
      <c r="K67" s="220"/>
      <c r="L67" s="220"/>
      <c r="M67" s="220"/>
      <c r="N67" s="220"/>
      <c r="O67" s="220"/>
      <c r="P67" s="220"/>
      <c r="Q67" s="220"/>
      <c r="R67" s="220"/>
      <c r="S67" s="220"/>
      <c r="T67" s="220"/>
      <c r="U67" s="220"/>
      <c r="V67" s="220"/>
      <c r="W67" s="220"/>
      <c r="X67" s="220"/>
    </row>
    <row r="68" spans="1:24" ht="30" customHeight="1" x14ac:dyDescent="0.25">
      <c r="A68" s="227">
        <v>1947</v>
      </c>
      <c r="B68" s="227">
        <v>1946</v>
      </c>
      <c r="C68" s="220"/>
      <c r="D68" s="220"/>
      <c r="E68" s="220"/>
      <c r="F68" s="220"/>
      <c r="G68" s="220"/>
      <c r="H68" s="220"/>
      <c r="I68" s="220"/>
      <c r="J68" s="220"/>
      <c r="K68" s="220"/>
      <c r="L68" s="220"/>
      <c r="M68" s="220"/>
      <c r="N68" s="220"/>
      <c r="O68" s="220"/>
      <c r="P68" s="220"/>
      <c r="Q68" s="220"/>
      <c r="R68" s="220"/>
      <c r="S68" s="220"/>
      <c r="T68" s="220"/>
      <c r="U68" s="220"/>
      <c r="V68" s="220"/>
      <c r="W68" s="220"/>
      <c r="X68" s="220"/>
    </row>
    <row r="69" spans="1:24" ht="30" customHeight="1" x14ac:dyDescent="0.25">
      <c r="A69" s="227">
        <v>1946</v>
      </c>
      <c r="B69" s="227">
        <v>1945</v>
      </c>
      <c r="C69" s="220"/>
      <c r="D69" s="220"/>
      <c r="E69" s="220"/>
      <c r="F69" s="220"/>
      <c r="G69" s="220"/>
      <c r="H69" s="220"/>
      <c r="I69" s="220"/>
      <c r="J69" s="220"/>
      <c r="K69" s="220"/>
      <c r="L69" s="220"/>
      <c r="M69" s="220"/>
      <c r="N69" s="220"/>
      <c r="O69" s="220"/>
      <c r="P69" s="220"/>
      <c r="Q69" s="220"/>
      <c r="R69" s="220"/>
      <c r="S69" s="220"/>
      <c r="T69" s="220"/>
      <c r="U69" s="220"/>
      <c r="V69" s="220"/>
      <c r="W69" s="220"/>
      <c r="X69" s="220"/>
    </row>
    <row r="70" spans="1:24" ht="30" customHeight="1" x14ac:dyDescent="0.25">
      <c r="A70" s="227">
        <v>1945</v>
      </c>
      <c r="B70" s="227">
        <v>1944</v>
      </c>
      <c r="C70" s="220"/>
      <c r="D70" s="220"/>
      <c r="E70" s="220"/>
      <c r="F70" s="220"/>
      <c r="G70" s="220"/>
      <c r="H70" s="220"/>
      <c r="I70" s="220"/>
      <c r="J70" s="220"/>
      <c r="K70" s="220"/>
      <c r="L70" s="220"/>
      <c r="M70" s="220"/>
      <c r="N70" s="220"/>
      <c r="O70" s="220"/>
      <c r="P70" s="220"/>
      <c r="Q70" s="220"/>
      <c r="R70" s="220"/>
      <c r="S70" s="220"/>
      <c r="T70" s="220"/>
      <c r="U70" s="220"/>
      <c r="V70" s="220"/>
      <c r="W70" s="220"/>
      <c r="X70" s="220"/>
    </row>
    <row r="88" spans="1:2" ht="30" customHeight="1" x14ac:dyDescent="0.25">
      <c r="A88" s="74"/>
      <c r="B88" s="74"/>
    </row>
    <row r="89" spans="1:2" ht="30" customHeight="1" x14ac:dyDescent="0.25">
      <c r="A89" s="74"/>
      <c r="B89" s="74"/>
    </row>
    <row r="90" spans="1:2" ht="30" customHeight="1" x14ac:dyDescent="0.25">
      <c r="A90" s="74"/>
      <c r="B90" s="74"/>
    </row>
    <row r="91" spans="1:2" ht="30" customHeight="1" x14ac:dyDescent="0.25">
      <c r="A91" s="74"/>
      <c r="B91" s="74"/>
    </row>
    <row r="92" spans="1:2" ht="30" customHeight="1" x14ac:dyDescent="0.25">
      <c r="A92" s="74"/>
      <c r="B92" s="74"/>
    </row>
  </sheetData>
  <mergeCells count="1">
    <mergeCell ref="X3:X10"/>
  </mergeCells>
  <hyperlinks>
    <hyperlink ref="H13" r:id="rId1" location="LEGIARTI000006212781" display="http://legifrance.gouv.fr/affichTexteArticle.do;jsessionid=74B6FCBBE75E37F0115D9428F2169E51.tpdjo12v_1?cidTexte=JORFTEXT000000596281&amp;idArticle=LEGIARTI000006212781&amp;dateTexte=20040531&amp;categorieLien=id - LEGIARTI00000621278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pane xSplit="2" ySplit="2" topLeftCell="G3" activePane="bottomRight" state="frozen"/>
      <selection pane="topRight" activeCell="C1" sqref="C1"/>
      <selection pane="bottomLeft" activeCell="A2" sqref="A2"/>
      <selection pane="bottomRight" sqref="A1:XFD1"/>
    </sheetView>
  </sheetViews>
  <sheetFormatPr baseColWidth="10" defaultColWidth="15.7109375" defaultRowHeight="15" x14ac:dyDescent="0.25"/>
  <cols>
    <col min="1" max="2" width="15.7109375" style="35" customWidth="1"/>
    <col min="3" max="3" width="18" style="35" customWidth="1"/>
    <col min="4" max="4" width="17.7109375" style="35" customWidth="1"/>
    <col min="5" max="5" width="22.42578125" style="35" customWidth="1"/>
    <col min="6" max="6" width="20.42578125" style="35" customWidth="1"/>
    <col min="7" max="7" width="20.140625" style="35" customWidth="1"/>
    <col min="8" max="8" width="37.140625" style="35" customWidth="1"/>
    <col min="9" max="9" width="15.140625" style="35" customWidth="1"/>
    <col min="10" max="10" width="37.140625" style="35" customWidth="1"/>
    <col min="11" max="11" width="13.85546875" style="35" customWidth="1"/>
    <col min="12" max="12" width="100.140625" style="35" customWidth="1"/>
    <col min="13" max="16384" width="15.7109375" style="35"/>
  </cols>
  <sheetData>
    <row r="1" spans="1:12" ht="22.5" hidden="1" customHeight="1" x14ac:dyDescent="0.25">
      <c r="A1" s="224" t="s">
        <v>221</v>
      </c>
      <c r="B1" s="224" t="s">
        <v>222</v>
      </c>
      <c r="C1" s="28" t="s">
        <v>141</v>
      </c>
      <c r="D1" s="225" t="s">
        <v>59</v>
      </c>
      <c r="E1" s="28" t="s">
        <v>60</v>
      </c>
      <c r="F1" s="28" t="s">
        <v>61</v>
      </c>
      <c r="G1" s="28" t="s">
        <v>70</v>
      </c>
      <c r="H1" s="224" t="s">
        <v>147</v>
      </c>
      <c r="I1" s="224" t="s">
        <v>4</v>
      </c>
      <c r="J1" s="224" t="s">
        <v>147</v>
      </c>
      <c r="K1" s="224" t="s">
        <v>4</v>
      </c>
      <c r="L1" s="226" t="s">
        <v>5</v>
      </c>
    </row>
    <row r="2" spans="1:12" ht="90.75" customHeight="1" x14ac:dyDescent="0.25">
      <c r="A2" s="282" t="s">
        <v>221</v>
      </c>
      <c r="B2" s="282" t="s">
        <v>222</v>
      </c>
      <c r="C2" s="267" t="s">
        <v>427</v>
      </c>
      <c r="D2" s="267" t="s">
        <v>427</v>
      </c>
      <c r="E2" s="267" t="s">
        <v>428</v>
      </c>
      <c r="F2" s="267" t="s">
        <v>429</v>
      </c>
      <c r="G2" s="267" t="s">
        <v>430</v>
      </c>
      <c r="H2" s="282" t="s">
        <v>147</v>
      </c>
      <c r="I2" s="282" t="s">
        <v>4</v>
      </c>
      <c r="J2" s="282" t="s">
        <v>147</v>
      </c>
      <c r="K2" s="282" t="s">
        <v>4</v>
      </c>
      <c r="L2" s="226" t="s">
        <v>5</v>
      </c>
    </row>
    <row r="3" spans="1:12" s="169" customFormat="1" ht="22.5" customHeight="1" x14ac:dyDescent="0.25">
      <c r="A3" s="227">
        <v>2012</v>
      </c>
      <c r="B3" s="227">
        <v>2011</v>
      </c>
      <c r="C3" s="193">
        <f>ROUND(1.021*C4,0)</f>
        <v>2361</v>
      </c>
      <c r="D3" s="193">
        <f t="shared" ref="D3:G3" si="0">ROUND(1.021*D4,0)</f>
        <v>1180</v>
      </c>
      <c r="E3" s="193">
        <f t="shared" si="0"/>
        <v>14519</v>
      </c>
      <c r="F3" s="193">
        <f t="shared" si="0"/>
        <v>23412</v>
      </c>
      <c r="G3" s="193">
        <f t="shared" si="0"/>
        <v>5818</v>
      </c>
      <c r="H3" s="191"/>
      <c r="I3" s="191"/>
      <c r="J3" s="191"/>
      <c r="K3" s="191"/>
      <c r="L3" s="300" t="s">
        <v>437</v>
      </c>
    </row>
    <row r="4" spans="1:12" s="72" customFormat="1" ht="30" customHeight="1" x14ac:dyDescent="0.25">
      <c r="A4" s="227">
        <v>2011</v>
      </c>
      <c r="B4" s="227">
        <v>2010</v>
      </c>
      <c r="C4" s="39">
        <v>2312</v>
      </c>
      <c r="D4" s="39">
        <v>1156</v>
      </c>
      <c r="E4" s="39">
        <v>14220</v>
      </c>
      <c r="F4" s="39">
        <v>22930</v>
      </c>
      <c r="G4" s="217">
        <v>5698</v>
      </c>
      <c r="H4" s="83" t="s">
        <v>146</v>
      </c>
      <c r="I4" s="214">
        <v>40705</v>
      </c>
      <c r="J4" s="213" t="s">
        <v>148</v>
      </c>
      <c r="K4" s="214">
        <v>40542</v>
      </c>
      <c r="L4" s="300"/>
    </row>
    <row r="5" spans="1:12" s="72" customFormat="1" ht="30" customHeight="1" x14ac:dyDescent="0.25">
      <c r="A5" s="227">
        <v>2010</v>
      </c>
      <c r="B5" s="227">
        <v>2009</v>
      </c>
      <c r="C5" s="39">
        <v>2276</v>
      </c>
      <c r="D5" s="39">
        <v>1138</v>
      </c>
      <c r="E5" s="39">
        <v>14010</v>
      </c>
      <c r="F5" s="39">
        <v>22590</v>
      </c>
      <c r="G5" s="217">
        <v>5753</v>
      </c>
      <c r="H5" s="84" t="s">
        <v>142</v>
      </c>
      <c r="I5" s="214">
        <v>40298</v>
      </c>
      <c r="J5" s="213" t="s">
        <v>149</v>
      </c>
      <c r="K5" s="214">
        <v>40178</v>
      </c>
      <c r="L5" s="300"/>
    </row>
    <row r="6" spans="1:12" s="72" customFormat="1" ht="30" customHeight="1" x14ac:dyDescent="0.25">
      <c r="A6" s="227">
        <v>2009</v>
      </c>
      <c r="B6" s="227">
        <v>2008</v>
      </c>
      <c r="C6" s="39">
        <v>2266</v>
      </c>
      <c r="D6" s="39">
        <v>1133</v>
      </c>
      <c r="E6" s="39">
        <v>13950</v>
      </c>
      <c r="F6" s="39">
        <v>22500</v>
      </c>
      <c r="G6" s="217">
        <v>5729</v>
      </c>
      <c r="H6" s="83" t="s">
        <v>143</v>
      </c>
      <c r="I6" s="214">
        <v>39912</v>
      </c>
      <c r="J6" s="213" t="s">
        <v>150</v>
      </c>
      <c r="K6" s="214">
        <v>39810</v>
      </c>
      <c r="L6" s="61"/>
    </row>
    <row r="7" spans="1:12" s="72" customFormat="1" ht="30" customHeight="1" x14ac:dyDescent="0.25">
      <c r="A7" s="227">
        <v>2008</v>
      </c>
      <c r="B7" s="227">
        <v>2007</v>
      </c>
      <c r="C7" s="217">
        <v>2202</v>
      </c>
      <c r="D7" s="217">
        <v>1101</v>
      </c>
      <c r="E7" s="217">
        <v>13550</v>
      </c>
      <c r="F7" s="217">
        <v>21860</v>
      </c>
      <c r="G7" s="217">
        <v>5568</v>
      </c>
      <c r="H7" s="85" t="s">
        <v>144</v>
      </c>
      <c r="I7" s="214">
        <v>39540</v>
      </c>
      <c r="J7" s="213" t="s">
        <v>151</v>
      </c>
      <c r="K7" s="214">
        <v>39443</v>
      </c>
      <c r="L7" s="61"/>
    </row>
    <row r="8" spans="1:12" s="72" customFormat="1" ht="30" customHeight="1" x14ac:dyDescent="0.25">
      <c r="A8" s="227">
        <v>2007</v>
      </c>
      <c r="B8" s="227">
        <v>2006</v>
      </c>
      <c r="C8" s="217">
        <v>2172</v>
      </c>
      <c r="D8" s="217">
        <v>1086</v>
      </c>
      <c r="E8" s="217">
        <v>13370</v>
      </c>
      <c r="F8" s="217">
        <v>21570</v>
      </c>
      <c r="G8" s="217">
        <v>5495</v>
      </c>
      <c r="H8" s="83" t="s">
        <v>145</v>
      </c>
      <c r="I8" s="214">
        <v>38717</v>
      </c>
      <c r="J8" s="213" t="s">
        <v>152</v>
      </c>
      <c r="K8" s="214">
        <f>27/12/2006</f>
        <v>1.1216350947158525E-3</v>
      </c>
      <c r="L8" s="54"/>
    </row>
    <row r="9" spans="1:12" s="72" customFormat="1" ht="30" customHeight="1" x14ac:dyDescent="0.25">
      <c r="A9" s="227">
        <v>2006</v>
      </c>
      <c r="B9" s="227">
        <v>2005</v>
      </c>
      <c r="C9" s="217">
        <v>1706</v>
      </c>
      <c r="D9" s="217">
        <v>853</v>
      </c>
      <c r="E9" s="217">
        <v>10500</v>
      </c>
      <c r="F9" s="217">
        <v>16950</v>
      </c>
      <c r="G9" s="217">
        <v>4489</v>
      </c>
      <c r="H9" s="83" t="s">
        <v>145</v>
      </c>
      <c r="I9" s="214">
        <v>38717</v>
      </c>
      <c r="J9" s="213" t="s">
        <v>153</v>
      </c>
      <c r="K9" s="214">
        <v>38717</v>
      </c>
      <c r="L9" s="61"/>
    </row>
    <row r="10" spans="1:12" s="72" customFormat="1" ht="30" customHeight="1" x14ac:dyDescent="0.25">
      <c r="A10" s="227">
        <v>2005</v>
      </c>
      <c r="B10" s="227">
        <v>2004</v>
      </c>
      <c r="C10" s="217">
        <v>1674</v>
      </c>
      <c r="D10" s="217">
        <v>837</v>
      </c>
      <c r="E10" s="217">
        <v>10310</v>
      </c>
      <c r="F10" s="217">
        <v>16650</v>
      </c>
      <c r="G10" s="217">
        <v>4410</v>
      </c>
      <c r="H10" s="213"/>
      <c r="I10" s="214"/>
      <c r="J10" s="213" t="s">
        <v>154</v>
      </c>
      <c r="K10" s="214">
        <v>38352</v>
      </c>
      <c r="L10" s="61"/>
    </row>
    <row r="11" spans="1:12" s="165" customFormat="1" ht="30" customHeight="1" x14ac:dyDescent="0.25">
      <c r="A11" s="239">
        <v>2004</v>
      </c>
      <c r="B11" s="239">
        <v>2003</v>
      </c>
      <c r="C11" s="151">
        <v>1646</v>
      </c>
      <c r="D11" s="151">
        <v>823</v>
      </c>
      <c r="E11" s="151">
        <v>10130</v>
      </c>
      <c r="F11" s="151">
        <v>16370</v>
      </c>
      <c r="G11" s="151">
        <v>4338</v>
      </c>
      <c r="H11" s="162"/>
      <c r="I11" s="163"/>
      <c r="J11" s="83" t="s">
        <v>155</v>
      </c>
      <c r="K11" s="253">
        <v>37986</v>
      </c>
      <c r="L11" s="164"/>
    </row>
    <row r="12" spans="1:12" s="165" customFormat="1" ht="30" customHeight="1" x14ac:dyDescent="0.25">
      <c r="A12" s="239">
        <v>2003</v>
      </c>
      <c r="B12" s="239">
        <v>2002</v>
      </c>
      <c r="C12" s="151">
        <v>1618</v>
      </c>
      <c r="D12" s="151">
        <v>809</v>
      </c>
      <c r="E12" s="151">
        <v>9960</v>
      </c>
      <c r="F12" s="151">
        <v>16090</v>
      </c>
      <c r="G12" s="151">
        <v>4137</v>
      </c>
      <c r="H12" s="162"/>
      <c r="I12" s="163"/>
      <c r="J12" s="83" t="s">
        <v>156</v>
      </c>
      <c r="K12" s="253">
        <v>37621</v>
      </c>
      <c r="L12" s="164"/>
    </row>
    <row r="13" spans="1:12" s="72" customFormat="1" ht="30" customHeight="1" x14ac:dyDescent="0.25">
      <c r="A13" s="227">
        <v>2002</v>
      </c>
      <c r="B13" s="227">
        <v>2001</v>
      </c>
      <c r="C13" s="217">
        <v>1590</v>
      </c>
      <c r="D13" s="217">
        <v>795</v>
      </c>
      <c r="E13" s="217">
        <v>9790</v>
      </c>
      <c r="F13" s="217">
        <v>15820</v>
      </c>
      <c r="G13" s="217">
        <v>3824</v>
      </c>
      <c r="H13" s="213" t="s">
        <v>163</v>
      </c>
      <c r="I13" s="214">
        <v>37254</v>
      </c>
      <c r="J13" s="213" t="s">
        <v>431</v>
      </c>
      <c r="K13" s="214">
        <v>37254</v>
      </c>
      <c r="L13" s="61"/>
    </row>
    <row r="14" spans="1:12" s="73" customFormat="1" ht="30" customHeight="1" x14ac:dyDescent="0.25">
      <c r="A14" s="227">
        <v>2001</v>
      </c>
      <c r="B14" s="227">
        <v>2000</v>
      </c>
      <c r="C14" s="219">
        <v>10260</v>
      </c>
      <c r="D14" s="219">
        <v>5130</v>
      </c>
      <c r="E14" s="219">
        <v>63200.000000000007</v>
      </c>
      <c r="F14" s="219">
        <v>102100</v>
      </c>
      <c r="G14" s="219">
        <v>23360</v>
      </c>
      <c r="H14" s="213"/>
      <c r="I14" s="214"/>
      <c r="J14" s="213" t="s">
        <v>157</v>
      </c>
      <c r="K14" s="214">
        <v>36891</v>
      </c>
      <c r="L14" s="220"/>
    </row>
    <row r="15" spans="1:12" s="73" customFormat="1" ht="30" customHeight="1" x14ac:dyDescent="0.25">
      <c r="A15" s="227">
        <v>2000</v>
      </c>
      <c r="B15" s="227">
        <v>1999</v>
      </c>
      <c r="C15" s="219">
        <v>10100</v>
      </c>
      <c r="D15" s="219">
        <v>5050</v>
      </c>
      <c r="E15" s="219">
        <v>62300</v>
      </c>
      <c r="F15" s="219">
        <v>100600</v>
      </c>
      <c r="G15" s="219">
        <v>20480</v>
      </c>
      <c r="H15" s="213"/>
      <c r="I15" s="214"/>
      <c r="J15" s="213" t="s">
        <v>158</v>
      </c>
      <c r="K15" s="214">
        <v>36525</v>
      </c>
      <c r="L15" s="70"/>
    </row>
    <row r="16" spans="1:12" s="73" customFormat="1" ht="30" customHeight="1" x14ac:dyDescent="0.25">
      <c r="A16" s="227">
        <v>1999</v>
      </c>
      <c r="B16" s="227">
        <v>1998</v>
      </c>
      <c r="C16" s="219">
        <v>10040</v>
      </c>
      <c r="D16" s="219">
        <v>5020</v>
      </c>
      <c r="E16" s="219">
        <v>61900</v>
      </c>
      <c r="F16" s="219">
        <v>100100</v>
      </c>
      <c r="G16" s="219">
        <v>20370</v>
      </c>
      <c r="H16" s="213"/>
      <c r="I16" s="214"/>
      <c r="J16" s="213" t="s">
        <v>432</v>
      </c>
      <c r="K16" s="214">
        <v>36160</v>
      </c>
      <c r="L16" s="234"/>
    </row>
    <row r="17" spans="1:12" s="73" customFormat="1" ht="30" customHeight="1" x14ac:dyDescent="0.25">
      <c r="A17" s="227">
        <v>1998</v>
      </c>
      <c r="B17" s="227">
        <v>1997</v>
      </c>
      <c r="C17" s="219">
        <v>9940</v>
      </c>
      <c r="D17" s="219">
        <v>4970</v>
      </c>
      <c r="E17" s="219">
        <v>61400</v>
      </c>
      <c r="F17" s="219">
        <v>99200</v>
      </c>
      <c r="G17" s="219">
        <v>30330</v>
      </c>
      <c r="H17" s="213"/>
      <c r="I17" s="214"/>
      <c r="J17" s="213" t="s">
        <v>433</v>
      </c>
      <c r="K17" s="214">
        <v>35795</v>
      </c>
      <c r="L17" s="234"/>
    </row>
    <row r="18" spans="1:12" s="73" customFormat="1" ht="30" customHeight="1" x14ac:dyDescent="0.25">
      <c r="A18" s="227">
        <v>1997</v>
      </c>
      <c r="B18" s="227">
        <v>1996</v>
      </c>
      <c r="C18" s="219">
        <v>9820</v>
      </c>
      <c r="D18" s="219">
        <v>4910</v>
      </c>
      <c r="E18" s="219">
        <v>60700</v>
      </c>
      <c r="F18" s="219">
        <v>98100</v>
      </c>
      <c r="G18" s="219">
        <v>30000</v>
      </c>
      <c r="H18" s="218"/>
      <c r="I18" s="214"/>
      <c r="J18" s="218" t="s">
        <v>434</v>
      </c>
      <c r="K18" s="214">
        <v>35430</v>
      </c>
      <c r="L18" s="70"/>
    </row>
    <row r="19" spans="1:12" s="73" customFormat="1" ht="30" customHeight="1" x14ac:dyDescent="0.25">
      <c r="A19" s="227">
        <v>1996</v>
      </c>
      <c r="B19" s="227">
        <v>1995</v>
      </c>
      <c r="C19" s="219">
        <v>9620</v>
      </c>
      <c r="D19" s="219">
        <v>4810</v>
      </c>
      <c r="E19" s="219">
        <v>59500</v>
      </c>
      <c r="F19" s="219">
        <v>96200</v>
      </c>
      <c r="G19" s="219">
        <v>27989.999999999996</v>
      </c>
      <c r="H19" s="218"/>
      <c r="I19" s="222"/>
      <c r="J19" s="218" t="s">
        <v>435</v>
      </c>
      <c r="K19" s="222">
        <v>35064</v>
      </c>
      <c r="L19" s="70"/>
    </row>
    <row r="20" spans="1:12" s="73" customFormat="1" ht="30" customHeight="1" x14ac:dyDescent="0.25">
      <c r="A20" s="227">
        <v>1995</v>
      </c>
      <c r="B20" s="227">
        <v>1994</v>
      </c>
      <c r="C20" s="219">
        <v>9440</v>
      </c>
      <c r="D20" s="219">
        <v>4720</v>
      </c>
      <c r="E20" s="219">
        <v>58400</v>
      </c>
      <c r="F20" s="219">
        <v>94400</v>
      </c>
      <c r="G20" s="219">
        <v>27500</v>
      </c>
      <c r="H20" s="218"/>
      <c r="I20" s="222"/>
      <c r="J20" s="218" t="s">
        <v>436</v>
      </c>
      <c r="K20" s="222">
        <v>34698</v>
      </c>
      <c r="L20" s="70"/>
    </row>
    <row r="21" spans="1:12" ht="30" customHeight="1" x14ac:dyDescent="0.25">
      <c r="A21" s="227">
        <v>1994</v>
      </c>
      <c r="B21" s="227">
        <v>1993</v>
      </c>
      <c r="C21" s="219"/>
      <c r="D21" s="219"/>
      <c r="E21" s="219"/>
      <c r="F21" s="219"/>
      <c r="G21" s="219"/>
      <c r="H21" s="71"/>
      <c r="I21" s="62"/>
      <c r="J21" s="71"/>
      <c r="K21" s="62"/>
      <c r="L21" s="70"/>
    </row>
    <row r="22" spans="1:12" ht="30" customHeight="1" x14ac:dyDescent="0.25">
      <c r="A22" s="227">
        <v>1993</v>
      </c>
      <c r="B22" s="227">
        <v>1992</v>
      </c>
      <c r="C22" s="219"/>
      <c r="D22" s="219"/>
      <c r="E22" s="219"/>
      <c r="F22" s="219"/>
      <c r="G22" s="219"/>
      <c r="H22" s="71"/>
      <c r="I22" s="62"/>
      <c r="J22" s="71"/>
      <c r="K22" s="62"/>
      <c r="L22" s="70"/>
    </row>
    <row r="23" spans="1:12" ht="30" customHeight="1" x14ac:dyDescent="0.25">
      <c r="A23" s="227">
        <v>1992</v>
      </c>
      <c r="B23" s="227">
        <v>1991</v>
      </c>
      <c r="C23" s="219"/>
      <c r="D23" s="219"/>
      <c r="E23" s="219"/>
      <c r="F23" s="219"/>
      <c r="G23" s="219"/>
      <c r="H23" s="220"/>
      <c r="I23" s="220"/>
      <c r="J23" s="220"/>
      <c r="K23" s="220"/>
      <c r="L23" s="220"/>
    </row>
    <row r="24" spans="1:12" ht="30" customHeight="1" x14ac:dyDescent="0.25">
      <c r="A24" s="227">
        <v>1991</v>
      </c>
      <c r="B24" s="227">
        <v>1990</v>
      </c>
      <c r="C24" s="219"/>
      <c r="D24" s="219"/>
      <c r="E24" s="219"/>
      <c r="F24" s="219"/>
      <c r="G24" s="219"/>
      <c r="H24" s="220"/>
      <c r="I24" s="220"/>
      <c r="J24" s="220"/>
      <c r="K24" s="220"/>
      <c r="L24" s="220"/>
    </row>
    <row r="25" spans="1:12" ht="30" customHeight="1" x14ac:dyDescent="0.25">
      <c r="A25" s="227">
        <v>1990</v>
      </c>
      <c r="B25" s="227">
        <v>1989</v>
      </c>
      <c r="C25" s="219"/>
      <c r="D25" s="219"/>
      <c r="E25" s="219"/>
      <c r="F25" s="219"/>
      <c r="G25" s="219"/>
      <c r="H25" s="220"/>
      <c r="I25" s="220"/>
      <c r="J25" s="220"/>
      <c r="K25" s="220"/>
      <c r="L25" s="220"/>
    </row>
    <row r="26" spans="1:12" ht="30" customHeight="1" x14ac:dyDescent="0.25">
      <c r="A26" s="227">
        <v>1989</v>
      </c>
      <c r="B26" s="227">
        <v>1988</v>
      </c>
      <c r="C26" s="219">
        <v>8020</v>
      </c>
      <c r="D26" s="219">
        <v>16040</v>
      </c>
      <c r="E26" s="219">
        <v>49700</v>
      </c>
      <c r="F26" s="219">
        <v>80200</v>
      </c>
      <c r="G26" s="219"/>
      <c r="H26" s="220"/>
      <c r="I26" s="220"/>
      <c r="J26" s="220"/>
      <c r="K26" s="220"/>
      <c r="L26" s="220"/>
    </row>
    <row r="27" spans="1:12" ht="30" customHeight="1" x14ac:dyDescent="0.25">
      <c r="A27" s="227">
        <v>1988</v>
      </c>
      <c r="B27" s="227">
        <v>1987</v>
      </c>
      <c r="C27" s="219"/>
      <c r="D27" s="219"/>
      <c r="E27" s="219"/>
      <c r="F27" s="219"/>
      <c r="G27" s="219"/>
      <c r="H27" s="220"/>
      <c r="I27" s="220"/>
      <c r="J27" s="220"/>
      <c r="K27" s="220"/>
      <c r="L27" s="220"/>
    </row>
    <row r="28" spans="1:12" ht="30" customHeight="1" x14ac:dyDescent="0.25">
      <c r="A28" s="227">
        <v>1987</v>
      </c>
      <c r="B28" s="227">
        <v>1986</v>
      </c>
      <c r="C28" s="219">
        <v>7540</v>
      </c>
      <c r="D28" s="219"/>
      <c r="E28" s="219">
        <v>46800</v>
      </c>
      <c r="F28" s="219">
        <v>75400</v>
      </c>
      <c r="G28" s="219"/>
      <c r="H28" s="220"/>
      <c r="I28" s="220"/>
      <c r="J28" s="220"/>
      <c r="K28" s="220"/>
      <c r="L28" s="220"/>
    </row>
    <row r="29" spans="1:12" ht="30" customHeight="1" x14ac:dyDescent="0.25">
      <c r="A29" s="227">
        <v>1986</v>
      </c>
      <c r="B29" s="227">
        <v>1985</v>
      </c>
      <c r="C29" s="219"/>
      <c r="D29" s="219"/>
      <c r="E29" s="219"/>
      <c r="F29" s="219"/>
      <c r="G29" s="219"/>
      <c r="H29" s="220"/>
      <c r="I29" s="220"/>
      <c r="J29" s="220"/>
      <c r="K29" s="220"/>
      <c r="L29" s="220"/>
    </row>
    <row r="30" spans="1:12" ht="30" customHeight="1" x14ac:dyDescent="0.25">
      <c r="A30" s="227">
        <v>1985</v>
      </c>
      <c r="B30" s="227">
        <v>1984</v>
      </c>
      <c r="C30" s="219"/>
      <c r="D30" s="219"/>
      <c r="E30" s="219"/>
      <c r="F30" s="219"/>
      <c r="G30" s="219"/>
      <c r="H30" s="220"/>
      <c r="I30" s="220"/>
      <c r="J30" s="220"/>
      <c r="K30" s="220"/>
      <c r="L30" s="220"/>
    </row>
    <row r="31" spans="1:12" ht="30" customHeight="1" x14ac:dyDescent="0.25">
      <c r="A31" s="227">
        <v>1984</v>
      </c>
      <c r="B31" s="227">
        <v>1983</v>
      </c>
      <c r="C31" s="219"/>
      <c r="D31" s="219"/>
      <c r="E31" s="219"/>
      <c r="F31" s="219"/>
      <c r="G31" s="219"/>
      <c r="H31" s="220"/>
      <c r="I31" s="220"/>
      <c r="J31" s="220"/>
      <c r="K31" s="220"/>
      <c r="L31" s="220"/>
    </row>
    <row r="32" spans="1:12" ht="30" customHeight="1" x14ac:dyDescent="0.25">
      <c r="A32" s="227">
        <v>1983</v>
      </c>
      <c r="B32" s="227">
        <v>1982</v>
      </c>
      <c r="C32" s="219"/>
      <c r="D32" s="219"/>
      <c r="E32" s="219"/>
      <c r="F32" s="219"/>
      <c r="G32" s="219"/>
      <c r="H32" s="220"/>
      <c r="I32" s="220"/>
      <c r="J32" s="220"/>
      <c r="K32" s="220"/>
      <c r="L32" s="220"/>
    </row>
    <row r="33" spans="1:12" ht="30" customHeight="1" x14ac:dyDescent="0.25">
      <c r="A33" s="227">
        <v>1982</v>
      </c>
      <c r="B33" s="227">
        <v>1981</v>
      </c>
      <c r="C33" s="219"/>
      <c r="D33" s="219"/>
      <c r="E33" s="219"/>
      <c r="F33" s="219"/>
      <c r="G33" s="219"/>
      <c r="H33" s="220"/>
      <c r="I33" s="220"/>
      <c r="J33" s="220"/>
      <c r="K33" s="220"/>
      <c r="L33" s="220"/>
    </row>
    <row r="34" spans="1:12" ht="30" customHeight="1" x14ac:dyDescent="0.25">
      <c r="A34" s="227">
        <v>1981</v>
      </c>
      <c r="B34" s="227">
        <v>1980</v>
      </c>
      <c r="C34" s="219"/>
      <c r="D34" s="219"/>
      <c r="E34" s="219"/>
      <c r="F34" s="219"/>
      <c r="G34" s="219"/>
      <c r="H34" s="220"/>
      <c r="I34" s="220"/>
      <c r="J34" s="220"/>
      <c r="K34" s="220"/>
      <c r="L34" s="220"/>
    </row>
    <row r="35" spans="1:12" ht="30" customHeight="1" x14ac:dyDescent="0.25">
      <c r="A35" s="227">
        <v>1980</v>
      </c>
      <c r="B35" s="227">
        <v>1979</v>
      </c>
      <c r="C35" s="219"/>
      <c r="D35" s="219"/>
      <c r="E35" s="219"/>
      <c r="F35" s="219"/>
      <c r="G35" s="219"/>
      <c r="H35" s="220"/>
      <c r="I35" s="220"/>
      <c r="J35" s="220"/>
      <c r="K35" s="220"/>
      <c r="L35" s="220"/>
    </row>
    <row r="36" spans="1:12" ht="30" customHeight="1" x14ac:dyDescent="0.25">
      <c r="A36" s="227">
        <v>1979</v>
      </c>
      <c r="B36" s="227">
        <v>1978</v>
      </c>
      <c r="C36" s="219"/>
      <c r="D36" s="219"/>
      <c r="E36" s="219"/>
      <c r="F36" s="219"/>
      <c r="G36" s="219"/>
      <c r="H36" s="220"/>
      <c r="I36" s="220"/>
      <c r="J36" s="220"/>
      <c r="K36" s="220"/>
      <c r="L36" s="220"/>
    </row>
    <row r="37" spans="1:12" ht="30" customHeight="1" x14ac:dyDescent="0.25">
      <c r="A37" s="227">
        <v>1978</v>
      </c>
      <c r="B37" s="227">
        <v>1977</v>
      </c>
      <c r="C37" s="219"/>
      <c r="D37" s="219"/>
      <c r="E37" s="219"/>
      <c r="F37" s="219"/>
      <c r="G37" s="219"/>
      <c r="H37" s="220"/>
      <c r="I37" s="220"/>
      <c r="J37" s="220"/>
      <c r="K37" s="220"/>
      <c r="L37" s="220"/>
    </row>
    <row r="88" spans="1:2" x14ac:dyDescent="0.25">
      <c r="A88" s="74"/>
      <c r="B88" s="74"/>
    </row>
    <row r="89" spans="1:2" x14ac:dyDescent="0.25">
      <c r="A89" s="74"/>
      <c r="B89" s="74"/>
    </row>
    <row r="90" spans="1:2" x14ac:dyDescent="0.25">
      <c r="A90" s="74"/>
      <c r="B90" s="74"/>
    </row>
    <row r="91" spans="1:2" x14ac:dyDescent="0.25">
      <c r="A91" s="74"/>
      <c r="B91" s="74"/>
    </row>
    <row r="92" spans="1:2" x14ac:dyDescent="0.25">
      <c r="A92" s="74"/>
      <c r="B92" s="74"/>
    </row>
  </sheetData>
  <mergeCells count="1">
    <mergeCell ref="L3:L5"/>
  </mergeCells>
  <hyperlinks>
    <hyperlink ref="H5" r:id="rId1" location="LEGIARTI000022169561" display="http://www.legifrance.gouv.fr/affichTexteArticle.do;jsessionid=304501568C86C5032D74B02778A01E23.tpdjo08v_2?cidTexte=JORFTEXT000022166146&amp;idArticle=LEGIARTI000022169561&amp;dateTexte=20110611&amp;categorieLien=id - LEGIARTI000022169561"/>
    <hyperlink ref="H7" r:id="rId2" location="LEGIARTI000018559051" display="http://www.legifrance.gouv.fr/affichTexteArticle.do;jsessionid=304501568C86C5032D74B02778A01E23.tpdjo08v_2?cidTexte=JORFTEXT000018557013&amp;idArticle=LEGIARTI000018559051&amp;dateTexte=20090409&amp;categorieLien=id - LEGIARTI000018559051"/>
  </hyperlink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workbookViewId="0">
      <pane xSplit="2" ySplit="2" topLeftCell="D3" activePane="bottomRight" state="frozen"/>
      <selection pane="topRight" activeCell="C1" sqref="C1"/>
      <selection pane="bottomLeft" activeCell="A2" sqref="A2"/>
      <selection pane="bottomRight" activeCell="G13" sqref="G13"/>
    </sheetView>
  </sheetViews>
  <sheetFormatPr baseColWidth="10" defaultColWidth="15.7109375" defaultRowHeight="30" customHeight="1" x14ac:dyDescent="0.25"/>
  <cols>
    <col min="1" max="2" width="15.7109375" style="35" customWidth="1"/>
    <col min="3" max="3" width="22.5703125" style="35" customWidth="1"/>
    <col min="4" max="5" width="15.7109375" style="35"/>
    <col min="6" max="6" width="24.5703125" style="35" customWidth="1"/>
    <col min="7" max="7" width="42.85546875" style="35" customWidth="1"/>
    <col min="8" max="8" width="32.5703125" style="35" customWidth="1"/>
    <col min="9" max="9" width="94.5703125" style="35" customWidth="1"/>
    <col min="10" max="16384" width="15.7109375" style="35"/>
  </cols>
  <sheetData>
    <row r="1" spans="1:9" ht="30" hidden="1" customHeight="1" x14ac:dyDescent="0.25">
      <c r="A1" s="224" t="s">
        <v>221</v>
      </c>
      <c r="B1" s="224" t="s">
        <v>222</v>
      </c>
      <c r="C1" s="225" t="s">
        <v>52</v>
      </c>
      <c r="D1" s="225" t="s">
        <v>53</v>
      </c>
      <c r="E1" s="225" t="s">
        <v>164</v>
      </c>
      <c r="F1" s="224" t="s">
        <v>3</v>
      </c>
      <c r="G1" s="224" t="s">
        <v>18</v>
      </c>
      <c r="H1" s="224" t="s">
        <v>4</v>
      </c>
      <c r="I1" s="226" t="s">
        <v>5</v>
      </c>
    </row>
    <row r="2" spans="1:9" ht="62.25" customHeight="1" x14ac:dyDescent="0.25">
      <c r="A2" s="224" t="s">
        <v>221</v>
      </c>
      <c r="B2" s="224" t="s">
        <v>222</v>
      </c>
      <c r="C2" s="264" t="s">
        <v>440</v>
      </c>
      <c r="D2" s="264" t="s">
        <v>438</v>
      </c>
      <c r="E2" s="264" t="s">
        <v>439</v>
      </c>
      <c r="F2" s="248" t="s">
        <v>3</v>
      </c>
      <c r="G2" s="224" t="s">
        <v>18</v>
      </c>
      <c r="H2" s="224" t="s">
        <v>4</v>
      </c>
      <c r="I2" s="226" t="s">
        <v>5</v>
      </c>
    </row>
    <row r="3" spans="1:9" s="169" customFormat="1" ht="30" customHeight="1" x14ac:dyDescent="0.25">
      <c r="A3" s="227">
        <v>2012</v>
      </c>
      <c r="B3" s="227">
        <v>2011</v>
      </c>
      <c r="C3" s="240">
        <f>ROUND(1.021*C4,0)</f>
        <v>8617</v>
      </c>
      <c r="D3" s="240">
        <f t="shared" ref="D3:E3" si="0">ROUND(1.021*D4,0)</f>
        <v>9414</v>
      </c>
      <c r="E3" s="240">
        <f t="shared" si="0"/>
        <v>16724</v>
      </c>
      <c r="F3" s="191"/>
      <c r="G3" s="191"/>
      <c r="H3" s="191"/>
      <c r="I3" s="300" t="s">
        <v>441</v>
      </c>
    </row>
    <row r="4" spans="1:9" s="72" customFormat="1" ht="30" customHeight="1" x14ac:dyDescent="0.25">
      <c r="A4" s="227">
        <v>2011</v>
      </c>
      <c r="B4" s="227">
        <v>2010</v>
      </c>
      <c r="C4" s="86">
        <v>8440</v>
      </c>
      <c r="D4" s="86">
        <v>9220</v>
      </c>
      <c r="E4" s="217">
        <v>16380</v>
      </c>
      <c r="F4" s="213" t="s">
        <v>19</v>
      </c>
      <c r="G4" s="89" t="s">
        <v>146</v>
      </c>
      <c r="H4" s="214">
        <v>40705</v>
      </c>
      <c r="I4" s="300"/>
    </row>
    <row r="5" spans="1:9" s="72" customFormat="1" ht="30" customHeight="1" x14ac:dyDescent="0.25">
      <c r="A5" s="227">
        <v>2010</v>
      </c>
      <c r="B5" s="227">
        <v>2009</v>
      </c>
      <c r="C5" s="86">
        <v>8310</v>
      </c>
      <c r="D5" s="86">
        <v>9080</v>
      </c>
      <c r="E5" s="217">
        <v>16125.199999999999</v>
      </c>
      <c r="F5" s="213" t="s">
        <v>20</v>
      </c>
      <c r="G5" s="84" t="s">
        <v>142</v>
      </c>
      <c r="H5" s="214">
        <v>40298</v>
      </c>
      <c r="I5" s="300"/>
    </row>
    <row r="6" spans="1:9" s="72" customFormat="1" ht="30" customHeight="1" x14ac:dyDescent="0.25">
      <c r="A6" s="227">
        <v>2009</v>
      </c>
      <c r="B6" s="227">
        <v>2008</v>
      </c>
      <c r="C6" s="86">
        <v>8270</v>
      </c>
      <c r="D6" s="86">
        <v>9040</v>
      </c>
      <c r="E6" s="217">
        <v>16052.4</v>
      </c>
      <c r="F6" s="213" t="s">
        <v>21</v>
      </c>
      <c r="G6" s="84" t="s">
        <v>161</v>
      </c>
      <c r="H6" s="214">
        <v>39912</v>
      </c>
      <c r="I6" s="90"/>
    </row>
    <row r="7" spans="1:9" s="72" customFormat="1" ht="30" customHeight="1" x14ac:dyDescent="0.25">
      <c r="A7" s="227">
        <v>2008</v>
      </c>
      <c r="B7" s="227">
        <v>2007</v>
      </c>
      <c r="C7" s="232">
        <v>8030</v>
      </c>
      <c r="D7" s="232">
        <v>8780</v>
      </c>
      <c r="E7" s="217">
        <v>15852.2</v>
      </c>
      <c r="F7" s="218" t="s">
        <v>22</v>
      </c>
      <c r="G7" s="84" t="s">
        <v>162</v>
      </c>
      <c r="H7" s="214">
        <v>39540</v>
      </c>
      <c r="I7" s="90"/>
    </row>
    <row r="8" spans="1:9" s="72" customFormat="1" ht="30" customHeight="1" x14ac:dyDescent="0.25">
      <c r="A8" s="227">
        <v>2007</v>
      </c>
      <c r="B8" s="227">
        <v>2006</v>
      </c>
      <c r="C8" s="232">
        <v>7920</v>
      </c>
      <c r="D8" s="232">
        <v>8660</v>
      </c>
      <c r="E8" s="217">
        <v>15360.8</v>
      </c>
      <c r="F8" s="213" t="s">
        <v>23</v>
      </c>
      <c r="G8" s="83"/>
      <c r="H8" s="214"/>
      <c r="I8" s="54"/>
    </row>
    <row r="9" spans="1:9" s="72" customFormat="1" ht="30" customHeight="1" x14ac:dyDescent="0.25">
      <c r="A9" s="227">
        <v>2006</v>
      </c>
      <c r="B9" s="227">
        <v>2005</v>
      </c>
      <c r="C9" s="232">
        <v>7780</v>
      </c>
      <c r="D9" s="232">
        <v>8507</v>
      </c>
      <c r="E9" s="217">
        <v>15051.4</v>
      </c>
      <c r="F9" s="213" t="s">
        <v>24</v>
      </c>
      <c r="G9" s="83"/>
      <c r="H9" s="214"/>
      <c r="I9" s="61"/>
    </row>
    <row r="10" spans="1:9" s="72" customFormat="1" ht="30" customHeight="1" x14ac:dyDescent="0.25">
      <c r="A10" s="227">
        <v>2005</v>
      </c>
      <c r="B10" s="227">
        <v>2004</v>
      </c>
      <c r="C10" s="217">
        <v>7640</v>
      </c>
      <c r="D10" s="217">
        <v>8340</v>
      </c>
      <c r="E10" s="217">
        <f>C10</f>
        <v>7640</v>
      </c>
      <c r="F10" s="213" t="s">
        <v>25</v>
      </c>
      <c r="G10" s="83"/>
      <c r="H10" s="214"/>
      <c r="I10" s="61"/>
    </row>
    <row r="11" spans="1:9" s="72" customFormat="1" ht="30" customHeight="1" x14ac:dyDescent="0.25">
      <c r="A11" s="227">
        <v>2004</v>
      </c>
      <c r="B11" s="227">
        <v>2003</v>
      </c>
      <c r="C11" s="217">
        <v>7510</v>
      </c>
      <c r="D11" s="217">
        <v>8200</v>
      </c>
      <c r="E11" s="217">
        <f>C11</f>
        <v>7510</v>
      </c>
      <c r="F11" s="213" t="s">
        <v>26</v>
      </c>
      <c r="G11" s="83"/>
      <c r="H11" s="214"/>
      <c r="I11" s="61"/>
    </row>
    <row r="12" spans="1:9" s="72" customFormat="1" ht="30" customHeight="1" x14ac:dyDescent="0.25">
      <c r="A12" s="227">
        <v>2003</v>
      </c>
      <c r="B12" s="227">
        <v>2002</v>
      </c>
      <c r="C12" s="217">
        <v>7380</v>
      </c>
      <c r="D12" s="217">
        <v>8060</v>
      </c>
      <c r="E12" s="217">
        <f t="shared" ref="E12:E20" si="1">C12</f>
        <v>7380</v>
      </c>
      <c r="F12" s="213" t="s">
        <v>27</v>
      </c>
      <c r="G12" s="83"/>
      <c r="H12" s="214"/>
      <c r="I12" s="61"/>
    </row>
    <row r="13" spans="1:9" s="72" customFormat="1" ht="30" customHeight="1" x14ac:dyDescent="0.25">
      <c r="A13" s="227">
        <v>2002</v>
      </c>
      <c r="B13" s="227">
        <v>2001</v>
      </c>
      <c r="C13" s="217">
        <v>7250</v>
      </c>
      <c r="D13" s="217">
        <v>7920</v>
      </c>
      <c r="E13" s="217">
        <f t="shared" si="1"/>
        <v>7250</v>
      </c>
      <c r="F13" s="213" t="s">
        <v>28</v>
      </c>
      <c r="G13" s="83" t="s">
        <v>472</v>
      </c>
      <c r="H13" s="214">
        <v>37254</v>
      </c>
      <c r="I13" s="61"/>
    </row>
    <row r="14" spans="1:9" s="73" customFormat="1" ht="30" customHeight="1" x14ac:dyDescent="0.25">
      <c r="A14" s="227">
        <v>2001</v>
      </c>
      <c r="B14" s="227">
        <v>2000</v>
      </c>
      <c r="C14" s="219">
        <v>46800</v>
      </c>
      <c r="D14" s="219">
        <v>51100</v>
      </c>
      <c r="E14" s="219">
        <f t="shared" si="1"/>
        <v>46800</v>
      </c>
      <c r="F14" s="213" t="s">
        <v>29</v>
      </c>
      <c r="G14" s="213"/>
      <c r="H14" s="214"/>
      <c r="I14" s="220"/>
    </row>
    <row r="15" spans="1:9" s="73" customFormat="1" ht="30" customHeight="1" x14ac:dyDescent="0.25">
      <c r="A15" s="227">
        <v>2000</v>
      </c>
      <c r="B15" s="227">
        <v>1999</v>
      </c>
      <c r="C15" s="219">
        <v>46100</v>
      </c>
      <c r="D15" s="219">
        <v>50300</v>
      </c>
      <c r="E15" s="219">
        <f t="shared" si="1"/>
        <v>46100</v>
      </c>
      <c r="F15" s="213" t="s">
        <v>30</v>
      </c>
      <c r="G15" s="213"/>
      <c r="H15" s="214"/>
      <c r="I15" s="70"/>
    </row>
    <row r="16" spans="1:9" s="73" customFormat="1" ht="30" customHeight="1" x14ac:dyDescent="0.25">
      <c r="A16" s="227">
        <v>1999</v>
      </c>
      <c r="B16" s="227">
        <v>1998</v>
      </c>
      <c r="C16" s="219">
        <v>45800</v>
      </c>
      <c r="D16" s="219">
        <v>50000</v>
      </c>
      <c r="E16" s="219">
        <f t="shared" si="1"/>
        <v>45800</v>
      </c>
      <c r="F16" s="213" t="s">
        <v>29</v>
      </c>
      <c r="G16" s="213"/>
      <c r="H16" s="214"/>
      <c r="I16" s="70"/>
    </row>
    <row r="17" spans="1:9" s="73" customFormat="1" ht="30" customHeight="1" x14ac:dyDescent="0.25">
      <c r="A17" s="227">
        <v>1998</v>
      </c>
      <c r="B17" s="227">
        <v>1997</v>
      </c>
      <c r="C17" s="219">
        <v>45400</v>
      </c>
      <c r="D17" s="219">
        <v>49500</v>
      </c>
      <c r="E17" s="219">
        <f t="shared" si="1"/>
        <v>45400</v>
      </c>
      <c r="F17" s="213"/>
      <c r="G17" s="213"/>
      <c r="H17" s="214"/>
      <c r="I17" s="79"/>
    </row>
    <row r="18" spans="1:9" s="73" customFormat="1" ht="30" customHeight="1" x14ac:dyDescent="0.25">
      <c r="A18" s="227">
        <v>1997</v>
      </c>
      <c r="B18" s="227">
        <v>1996</v>
      </c>
      <c r="C18" s="219">
        <v>44900</v>
      </c>
      <c r="D18" s="219">
        <v>48900</v>
      </c>
      <c r="E18" s="219">
        <f t="shared" si="1"/>
        <v>44900</v>
      </c>
      <c r="F18" s="213"/>
      <c r="G18" s="218"/>
      <c r="H18" s="214"/>
      <c r="I18" s="70"/>
    </row>
    <row r="19" spans="1:9" s="73" customFormat="1" ht="30" customHeight="1" x14ac:dyDescent="0.25">
      <c r="A19" s="227">
        <v>1996</v>
      </c>
      <c r="B19" s="227">
        <v>1995</v>
      </c>
      <c r="C19" s="219">
        <v>44000</v>
      </c>
      <c r="D19" s="219">
        <v>47900</v>
      </c>
      <c r="E19" s="219">
        <f t="shared" si="1"/>
        <v>44000</v>
      </c>
      <c r="F19" s="220"/>
      <c r="G19" s="218"/>
      <c r="H19" s="222"/>
      <c r="I19" s="70"/>
    </row>
    <row r="20" spans="1:9" s="73" customFormat="1" ht="30" customHeight="1" x14ac:dyDescent="0.25">
      <c r="A20" s="227">
        <v>1995</v>
      </c>
      <c r="B20" s="227">
        <v>1994</v>
      </c>
      <c r="C20" s="219">
        <v>43200</v>
      </c>
      <c r="D20" s="219">
        <v>47000</v>
      </c>
      <c r="E20" s="219">
        <f t="shared" si="1"/>
        <v>43200</v>
      </c>
      <c r="F20" s="71"/>
      <c r="G20" s="218"/>
      <c r="H20" s="222"/>
      <c r="I20" s="70"/>
    </row>
    <row r="21" spans="1:9" ht="30" customHeight="1" x14ac:dyDescent="0.25">
      <c r="A21" s="227">
        <v>1994</v>
      </c>
      <c r="B21" s="227">
        <v>1993</v>
      </c>
      <c r="C21" s="219"/>
      <c r="D21" s="219"/>
      <c r="E21" s="220"/>
      <c r="F21" s="71"/>
      <c r="G21" s="71"/>
      <c r="H21" s="62"/>
      <c r="I21" s="70"/>
    </row>
    <row r="22" spans="1:9" ht="30" customHeight="1" x14ac:dyDescent="0.25">
      <c r="A22" s="227">
        <v>1993</v>
      </c>
      <c r="B22" s="227">
        <v>1992</v>
      </c>
      <c r="C22" s="219"/>
      <c r="D22" s="219"/>
      <c r="E22" s="220"/>
      <c r="F22" s="71"/>
      <c r="G22" s="71"/>
      <c r="H22" s="62"/>
      <c r="I22" s="70"/>
    </row>
    <row r="23" spans="1:9" ht="30" customHeight="1" x14ac:dyDescent="0.25">
      <c r="A23" s="227">
        <v>1992</v>
      </c>
      <c r="B23" s="227">
        <v>1991</v>
      </c>
      <c r="C23" s="219"/>
      <c r="D23" s="219"/>
      <c r="E23" s="220"/>
      <c r="F23" s="220"/>
      <c r="G23" s="220"/>
      <c r="H23" s="220"/>
      <c r="I23" s="220"/>
    </row>
    <row r="24" spans="1:9" ht="30" customHeight="1" x14ac:dyDescent="0.25">
      <c r="A24" s="227">
        <v>1991</v>
      </c>
      <c r="B24" s="227">
        <v>1990</v>
      </c>
      <c r="C24" s="219"/>
      <c r="D24" s="219"/>
      <c r="E24" s="220"/>
      <c r="F24" s="220"/>
      <c r="G24" s="220"/>
      <c r="H24" s="220"/>
      <c r="I24" s="220"/>
    </row>
    <row r="25" spans="1:9" ht="30" customHeight="1" x14ac:dyDescent="0.25">
      <c r="A25" s="227">
        <v>1990</v>
      </c>
      <c r="B25" s="227">
        <v>1989</v>
      </c>
      <c r="C25" s="219"/>
      <c r="D25" s="219"/>
      <c r="E25" s="220"/>
      <c r="F25" s="220"/>
      <c r="G25" s="220"/>
      <c r="H25" s="220"/>
      <c r="I25" s="220"/>
    </row>
    <row r="26" spans="1:9" ht="30" customHeight="1" x14ac:dyDescent="0.25">
      <c r="A26" s="227">
        <v>1989</v>
      </c>
      <c r="B26" s="227">
        <v>1988</v>
      </c>
      <c r="C26" s="219">
        <v>36700</v>
      </c>
      <c r="D26" s="219">
        <v>40000</v>
      </c>
      <c r="E26" s="220"/>
      <c r="F26" s="220"/>
      <c r="G26" s="220"/>
      <c r="H26" s="220"/>
      <c r="I26" s="220"/>
    </row>
    <row r="27" spans="1:9" ht="30" customHeight="1" x14ac:dyDescent="0.25">
      <c r="A27" s="227">
        <v>1988</v>
      </c>
      <c r="B27" s="227">
        <v>1987</v>
      </c>
      <c r="C27" s="219"/>
      <c r="D27" s="219"/>
      <c r="E27" s="220"/>
      <c r="F27" s="220"/>
      <c r="G27" s="220"/>
      <c r="H27" s="220"/>
      <c r="I27" s="220"/>
    </row>
    <row r="28" spans="1:9" ht="30" customHeight="1" x14ac:dyDescent="0.25">
      <c r="A28" s="227">
        <v>1987</v>
      </c>
      <c r="B28" s="227">
        <v>1986</v>
      </c>
      <c r="C28" s="219"/>
      <c r="D28" s="219"/>
      <c r="E28" s="220"/>
      <c r="F28" s="220"/>
      <c r="G28" s="220"/>
      <c r="H28" s="220"/>
      <c r="I28" s="220"/>
    </row>
    <row r="29" spans="1:9" ht="30" customHeight="1" x14ac:dyDescent="0.25">
      <c r="A29" s="227">
        <v>1986</v>
      </c>
      <c r="B29" s="227">
        <v>1985</v>
      </c>
      <c r="C29" s="219"/>
      <c r="D29" s="219"/>
      <c r="E29" s="220"/>
      <c r="F29" s="220"/>
      <c r="G29" s="220"/>
      <c r="H29" s="220"/>
      <c r="I29" s="220"/>
    </row>
    <row r="30" spans="1:9" ht="30" customHeight="1" x14ac:dyDescent="0.25">
      <c r="A30" s="227">
        <v>1985</v>
      </c>
      <c r="B30" s="227">
        <v>1984</v>
      </c>
      <c r="C30" s="219"/>
      <c r="D30" s="219"/>
      <c r="E30" s="220"/>
      <c r="F30" s="220"/>
      <c r="G30" s="220"/>
      <c r="H30" s="220"/>
      <c r="I30" s="220"/>
    </row>
    <row r="31" spans="1:9" ht="30" customHeight="1" x14ac:dyDescent="0.25">
      <c r="A31" s="227">
        <v>1984</v>
      </c>
      <c r="B31" s="227">
        <v>1983</v>
      </c>
      <c r="C31" s="219"/>
      <c r="D31" s="219"/>
      <c r="E31" s="220"/>
      <c r="F31" s="220"/>
      <c r="G31" s="220"/>
      <c r="H31" s="220"/>
      <c r="I31" s="220"/>
    </row>
    <row r="32" spans="1:9" ht="30" customHeight="1" x14ac:dyDescent="0.25">
      <c r="A32" s="227">
        <v>1983</v>
      </c>
      <c r="B32" s="227">
        <v>1982</v>
      </c>
      <c r="C32" s="219"/>
      <c r="D32" s="219"/>
      <c r="E32" s="220"/>
      <c r="F32" s="220"/>
      <c r="G32" s="220"/>
      <c r="H32" s="220"/>
      <c r="I32" s="220"/>
    </row>
    <row r="33" spans="1:9" ht="30" customHeight="1" x14ac:dyDescent="0.25">
      <c r="A33" s="227">
        <v>1982</v>
      </c>
      <c r="B33" s="227">
        <v>1981</v>
      </c>
      <c r="C33" s="219"/>
      <c r="D33" s="219"/>
      <c r="E33" s="220"/>
      <c r="F33" s="220"/>
      <c r="G33" s="220"/>
      <c r="H33" s="220"/>
      <c r="I33" s="220"/>
    </row>
    <row r="34" spans="1:9" ht="30" customHeight="1" x14ac:dyDescent="0.25">
      <c r="A34" s="227">
        <v>1981</v>
      </c>
      <c r="B34" s="227">
        <v>1980</v>
      </c>
      <c r="C34" s="219"/>
      <c r="D34" s="219"/>
      <c r="E34" s="220"/>
      <c r="F34" s="220"/>
      <c r="G34" s="220"/>
      <c r="H34" s="220"/>
      <c r="I34" s="220"/>
    </row>
    <row r="35" spans="1:9" ht="30" customHeight="1" x14ac:dyDescent="0.25">
      <c r="A35" s="227">
        <v>1980</v>
      </c>
      <c r="B35" s="227">
        <v>1979</v>
      </c>
      <c r="C35" s="219"/>
      <c r="D35" s="219"/>
      <c r="E35" s="220"/>
      <c r="F35" s="220"/>
      <c r="G35" s="220"/>
      <c r="H35" s="220"/>
      <c r="I35" s="220"/>
    </row>
    <row r="36" spans="1:9" ht="30" customHeight="1" x14ac:dyDescent="0.25">
      <c r="A36" s="227">
        <v>1979</v>
      </c>
      <c r="B36" s="227">
        <v>1978</v>
      </c>
      <c r="C36" s="219"/>
      <c r="D36" s="219"/>
      <c r="E36" s="220"/>
      <c r="F36" s="220"/>
      <c r="G36" s="220"/>
      <c r="H36" s="220"/>
      <c r="I36" s="220"/>
    </row>
    <row r="37" spans="1:9" ht="30" customHeight="1" x14ac:dyDescent="0.25">
      <c r="A37" s="227">
        <v>1978</v>
      </c>
      <c r="B37" s="227">
        <v>1977</v>
      </c>
      <c r="C37" s="219"/>
      <c r="D37" s="219"/>
      <c r="E37" s="220"/>
      <c r="F37" s="220"/>
      <c r="G37" s="220"/>
      <c r="H37" s="220"/>
      <c r="I37" s="220"/>
    </row>
    <row r="88" spans="1:2" ht="30" customHeight="1" x14ac:dyDescent="0.25">
      <c r="A88" s="74"/>
      <c r="B88" s="74"/>
    </row>
    <row r="89" spans="1:2" ht="30" customHeight="1" x14ac:dyDescent="0.25">
      <c r="A89" s="74"/>
      <c r="B89" s="74"/>
    </row>
    <row r="90" spans="1:2" ht="30" customHeight="1" x14ac:dyDescent="0.25">
      <c r="A90" s="74"/>
      <c r="B90" s="74"/>
    </row>
    <row r="91" spans="1:2" ht="30" customHeight="1" x14ac:dyDescent="0.25">
      <c r="A91" s="74"/>
      <c r="B91" s="74"/>
    </row>
    <row r="92" spans="1:2" ht="30" customHeight="1" x14ac:dyDescent="0.25">
      <c r="A92" s="74"/>
      <c r="B92" s="74"/>
    </row>
  </sheetData>
  <mergeCells count="1">
    <mergeCell ref="I3:I5"/>
  </mergeCells>
  <hyperlinks>
    <hyperlink ref="G5" r:id="rId1" location="LEGIARTI000022169561" display="http://www.legifrance.gouv.fr/affichTexteArticle.do;jsessionid=A03575D90595BEEB58D0BA21CE300CE0.tpdjo08v_2?cidTexte=JORFTEXT000022166146&amp;idArticle=LEGIARTI000022169561&amp;dateTexte=20110611&amp;categorieLien=id - LEGIARTI000022169561"/>
    <hyperlink ref="G6" r:id="rId2" location="LEGIARTI000020499734" display="http://www.legifrance.gouv.fr/affichTexteArticle.do;jsessionid=A03575D90595BEEB58D0BA21CE300CE0.tpdjo08v_2?cidTexte=JORFTEXT000020496091&amp;idArticle=LEGIARTI000020499734&amp;dateTexte=20100430&amp;categorieLien=id - LEGIARTI000020499734"/>
    <hyperlink ref="G7" r:id="rId3" location="LEGIARTI000018559051" display="http://www.legifrance.gouv.fr/affichTexteArticle.do;jsessionid=A03575D90595BEEB58D0BA21CE300CE0.tpdjo08v_2?cidTexte=JORFTEXT000018557013&amp;idArticle=LEGIARTI000018559051&amp;dateTexte=20090409&amp;categorieLien=id - LEGIARTI000018559051"/>
  </hyperlinks>
  <pageMargins left="0.7" right="0.7" top="0.75" bottom="0.75"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3"/>
  <sheetViews>
    <sheetView tabSelected="1" workbookViewId="0">
      <pane xSplit="2" ySplit="2" topLeftCell="L3" activePane="bottomRight" state="frozen"/>
      <selection pane="topRight" activeCell="C1" sqref="C1"/>
      <selection pane="bottomLeft" activeCell="A2" sqref="A2"/>
      <selection pane="bottomRight" activeCell="Q2" sqref="Q2:V2"/>
    </sheetView>
  </sheetViews>
  <sheetFormatPr baseColWidth="10" defaultColWidth="9.140625" defaultRowHeight="30" customHeight="1" x14ac:dyDescent="0.25"/>
  <cols>
    <col min="1" max="1" width="8.7109375" style="35" customWidth="1"/>
    <col min="2" max="2" width="9.7109375" style="35" customWidth="1"/>
    <col min="3" max="16" width="15.7109375" customWidth="1"/>
    <col min="17" max="21" width="15.7109375" style="23" customWidth="1"/>
    <col min="22" max="30" width="15.7109375" customWidth="1"/>
    <col min="31" max="31" width="32.28515625" customWidth="1"/>
    <col min="32" max="32" width="49.140625" customWidth="1"/>
    <col min="33" max="33" width="11.140625" style="34" customWidth="1"/>
    <col min="34" max="34" width="58.42578125" customWidth="1"/>
  </cols>
  <sheetData>
    <row r="1" spans="1:37" ht="30" hidden="1" customHeight="1" x14ac:dyDescent="0.25">
      <c r="A1" s="224" t="s">
        <v>345</v>
      </c>
      <c r="B1" s="224" t="s">
        <v>344</v>
      </c>
      <c r="C1" s="224" t="s">
        <v>6</v>
      </c>
      <c r="D1" s="224" t="s">
        <v>7</v>
      </c>
      <c r="E1" s="224" t="s">
        <v>8</v>
      </c>
      <c r="F1" s="224" t="s">
        <v>9</v>
      </c>
      <c r="G1" s="224" t="s">
        <v>10</v>
      </c>
      <c r="H1" s="224" t="s">
        <v>211</v>
      </c>
      <c r="I1" s="224" t="s">
        <v>212</v>
      </c>
      <c r="J1" s="224" t="s">
        <v>213</v>
      </c>
      <c r="K1" s="224" t="s">
        <v>214</v>
      </c>
      <c r="L1" s="224" t="s">
        <v>215</v>
      </c>
      <c r="M1" s="224" t="s">
        <v>216</v>
      </c>
      <c r="N1" s="224" t="s">
        <v>217</v>
      </c>
      <c r="O1" s="224" t="s">
        <v>218</v>
      </c>
      <c r="P1" s="224" t="s">
        <v>219</v>
      </c>
      <c r="Q1" s="247" t="s">
        <v>11</v>
      </c>
      <c r="R1" s="247" t="s">
        <v>12</v>
      </c>
      <c r="S1" s="247" t="s">
        <v>13</v>
      </c>
      <c r="T1" s="247" t="s">
        <v>14</v>
      </c>
      <c r="U1" s="247" t="s">
        <v>15</v>
      </c>
      <c r="V1" s="248" t="s">
        <v>16</v>
      </c>
      <c r="W1" s="248" t="s">
        <v>17</v>
      </c>
      <c r="X1" s="248" t="s">
        <v>205</v>
      </c>
      <c r="Y1" s="248" t="s">
        <v>206</v>
      </c>
      <c r="Z1" s="248" t="s">
        <v>207</v>
      </c>
      <c r="AA1" s="248" t="s">
        <v>208</v>
      </c>
      <c r="AB1" s="248" t="s">
        <v>209</v>
      </c>
      <c r="AC1" s="248" t="s">
        <v>210</v>
      </c>
      <c r="AD1" s="248" t="s">
        <v>220</v>
      </c>
      <c r="AE1" s="224" t="s">
        <v>3</v>
      </c>
      <c r="AF1" s="224" t="s">
        <v>18</v>
      </c>
      <c r="AG1" s="224" t="s">
        <v>4</v>
      </c>
      <c r="AH1" s="226" t="s">
        <v>5</v>
      </c>
    </row>
    <row r="2" spans="1:37" ht="63.75" customHeight="1" x14ac:dyDescent="0.25">
      <c r="A2" s="224" t="s">
        <v>345</v>
      </c>
      <c r="B2" s="224" t="s">
        <v>344</v>
      </c>
      <c r="C2" s="277" t="s">
        <v>442</v>
      </c>
      <c r="D2" s="277" t="s">
        <v>443</v>
      </c>
      <c r="E2" s="277" t="s">
        <v>444</v>
      </c>
      <c r="F2" s="277" t="s">
        <v>445</v>
      </c>
      <c r="G2" s="277" t="s">
        <v>446</v>
      </c>
      <c r="H2" s="277" t="s">
        <v>447</v>
      </c>
      <c r="I2" s="277" t="s">
        <v>448</v>
      </c>
      <c r="J2" s="277" t="s">
        <v>449</v>
      </c>
      <c r="K2" s="277" t="s">
        <v>450</v>
      </c>
      <c r="L2" s="277" t="s">
        <v>451</v>
      </c>
      <c r="M2" s="277" t="s">
        <v>452</v>
      </c>
      <c r="N2" s="277" t="s">
        <v>453</v>
      </c>
      <c r="O2" s="277" t="s">
        <v>454</v>
      </c>
      <c r="P2" s="277" t="s">
        <v>455</v>
      </c>
      <c r="Q2" s="283" t="s">
        <v>456</v>
      </c>
      <c r="R2" s="283" t="s">
        <v>457</v>
      </c>
      <c r="S2" s="283" t="s">
        <v>458</v>
      </c>
      <c r="T2" s="283" t="s">
        <v>459</v>
      </c>
      <c r="U2" s="283" t="s">
        <v>460</v>
      </c>
      <c r="V2" s="283" t="s">
        <v>461</v>
      </c>
      <c r="W2" s="283" t="s">
        <v>462</v>
      </c>
      <c r="X2" s="283" t="s">
        <v>463</v>
      </c>
      <c r="Y2" s="283" t="s">
        <v>464</v>
      </c>
      <c r="Z2" s="283" t="s">
        <v>465</v>
      </c>
      <c r="AA2" s="283" t="s">
        <v>466</v>
      </c>
      <c r="AB2" s="283" t="s">
        <v>467</v>
      </c>
      <c r="AC2" s="283" t="s">
        <v>468</v>
      </c>
      <c r="AD2" s="283" t="s">
        <v>469</v>
      </c>
      <c r="AE2" s="224" t="s">
        <v>3</v>
      </c>
      <c r="AF2" s="224" t="s">
        <v>18</v>
      </c>
      <c r="AG2" s="224" t="s">
        <v>4</v>
      </c>
      <c r="AH2" s="226" t="s">
        <v>5</v>
      </c>
    </row>
    <row r="3" spans="1:37" s="109" customFormat="1" ht="30" customHeight="1" x14ac:dyDescent="0.25">
      <c r="A3" s="227">
        <v>2012</v>
      </c>
      <c r="B3" s="227">
        <v>2011</v>
      </c>
      <c r="C3" s="189">
        <v>0</v>
      </c>
      <c r="D3" s="189">
        <v>6088</v>
      </c>
      <c r="E3" s="189">
        <v>12146</v>
      </c>
      <c r="F3" s="189">
        <v>26975</v>
      </c>
      <c r="G3" s="189">
        <v>72317</v>
      </c>
      <c r="H3" s="249"/>
      <c r="I3" s="249"/>
      <c r="J3" s="249"/>
      <c r="K3" s="249"/>
      <c r="L3" s="249"/>
      <c r="M3" s="249"/>
      <c r="N3" s="249"/>
      <c r="O3" s="249"/>
      <c r="P3" s="249"/>
      <c r="Q3" s="192">
        <v>0</v>
      </c>
      <c r="R3" s="192">
        <v>5.5E-2</v>
      </c>
      <c r="S3" s="192">
        <v>0.14000000000000001</v>
      </c>
      <c r="T3" s="192">
        <v>0.3</v>
      </c>
      <c r="U3" s="192">
        <v>0.41</v>
      </c>
      <c r="V3" s="250"/>
      <c r="W3" s="250"/>
      <c r="X3" s="250"/>
      <c r="Y3" s="250"/>
      <c r="Z3" s="250"/>
      <c r="AA3" s="250"/>
      <c r="AB3" s="250"/>
      <c r="AC3" s="250"/>
      <c r="AD3" s="250"/>
      <c r="AE3" s="191"/>
      <c r="AF3" s="191"/>
      <c r="AG3" s="191"/>
      <c r="AH3" s="96" t="s">
        <v>470</v>
      </c>
    </row>
    <row r="4" spans="1:37" ht="30" customHeight="1" x14ac:dyDescent="0.25">
      <c r="A4" s="227">
        <v>2011</v>
      </c>
      <c r="B4" s="227">
        <v>2010</v>
      </c>
      <c r="C4" s="241">
        <f>0</f>
        <v>0</v>
      </c>
      <c r="D4" s="241">
        <v>5963</v>
      </c>
      <c r="E4" s="241">
        <v>11896</v>
      </c>
      <c r="F4" s="241">
        <v>26420</v>
      </c>
      <c r="G4" s="241">
        <v>70830</v>
      </c>
      <c r="H4" s="136"/>
      <c r="I4" s="136"/>
      <c r="J4" s="136"/>
      <c r="K4" s="136"/>
      <c r="L4" s="136"/>
      <c r="M4" s="136"/>
      <c r="N4" s="136"/>
      <c r="O4" s="136"/>
      <c r="P4" s="136"/>
      <c r="Q4" s="242">
        <f>0%</f>
        <v>0</v>
      </c>
      <c r="R4" s="243">
        <f>0.055</f>
        <v>5.5E-2</v>
      </c>
      <c r="S4" s="243">
        <f>0.14</f>
        <v>0.14000000000000001</v>
      </c>
      <c r="T4" s="243">
        <f>0.3</f>
        <v>0.3</v>
      </c>
      <c r="U4" s="243">
        <v>0.41</v>
      </c>
      <c r="V4" s="136"/>
      <c r="W4" s="136"/>
      <c r="X4" s="136"/>
      <c r="Y4" s="136"/>
      <c r="Z4" s="136"/>
      <c r="AA4" s="136"/>
      <c r="AB4" s="136"/>
      <c r="AC4" s="136"/>
      <c r="AD4" s="136"/>
      <c r="AE4" s="257" t="s">
        <v>19</v>
      </c>
      <c r="AF4" s="213" t="s">
        <v>223</v>
      </c>
      <c r="AG4" s="214">
        <v>40542</v>
      </c>
      <c r="AI4" s="37"/>
      <c r="AJ4" s="37"/>
      <c r="AK4" s="37"/>
    </row>
    <row r="5" spans="1:37" ht="30" customHeight="1" x14ac:dyDescent="0.25">
      <c r="A5" s="227">
        <v>2010</v>
      </c>
      <c r="B5" s="227">
        <v>2009</v>
      </c>
      <c r="C5" s="241">
        <f>0</f>
        <v>0</v>
      </c>
      <c r="D5" s="241">
        <v>5875</v>
      </c>
      <c r="E5" s="241">
        <v>11720</v>
      </c>
      <c r="F5" s="241">
        <v>26030</v>
      </c>
      <c r="G5" s="241">
        <v>69783</v>
      </c>
      <c r="H5" s="136"/>
      <c r="I5" s="136"/>
      <c r="J5" s="136"/>
      <c r="K5" s="136"/>
      <c r="L5" s="136"/>
      <c r="M5" s="136"/>
      <c r="N5" s="136"/>
      <c r="O5" s="136"/>
      <c r="P5" s="136"/>
      <c r="Q5" s="242">
        <f>0%</f>
        <v>0</v>
      </c>
      <c r="R5" s="243">
        <f>0.055</f>
        <v>5.5E-2</v>
      </c>
      <c r="S5" s="243">
        <f>0.14</f>
        <v>0.14000000000000001</v>
      </c>
      <c r="T5" s="243">
        <f>0.3</f>
        <v>0.3</v>
      </c>
      <c r="U5" s="243">
        <f>0.4</f>
        <v>0.4</v>
      </c>
      <c r="V5" s="136"/>
      <c r="W5" s="136"/>
      <c r="X5" s="136"/>
      <c r="Y5" s="136"/>
      <c r="Z5" s="136"/>
      <c r="AA5" s="136"/>
      <c r="AB5" s="136"/>
      <c r="AC5" s="136"/>
      <c r="AD5" s="136"/>
      <c r="AE5" s="257" t="s">
        <v>20</v>
      </c>
      <c r="AF5" s="213" t="s">
        <v>224</v>
      </c>
      <c r="AG5" s="214">
        <v>40178</v>
      </c>
      <c r="AH5" s="61"/>
      <c r="AI5" s="37"/>
      <c r="AJ5" s="37"/>
      <c r="AK5" s="37"/>
    </row>
    <row r="6" spans="1:37" ht="30" customHeight="1" x14ac:dyDescent="0.25">
      <c r="A6" s="227">
        <v>2009</v>
      </c>
      <c r="B6" s="227">
        <v>2008</v>
      </c>
      <c r="C6" s="241">
        <f>0</f>
        <v>0</v>
      </c>
      <c r="D6" s="241">
        <f>5852</f>
        <v>5852</v>
      </c>
      <c r="E6" s="241">
        <f>11673</f>
        <v>11673</v>
      </c>
      <c r="F6" s="241">
        <f>25926</f>
        <v>25926</v>
      </c>
      <c r="G6" s="241">
        <f>69505</f>
        <v>69505</v>
      </c>
      <c r="H6" s="136"/>
      <c r="I6" s="136"/>
      <c r="J6" s="136"/>
      <c r="K6" s="136"/>
      <c r="L6" s="136"/>
      <c r="M6" s="136"/>
      <c r="N6" s="136"/>
      <c r="O6" s="136"/>
      <c r="P6" s="136"/>
      <c r="Q6" s="242">
        <f>0%</f>
        <v>0</v>
      </c>
      <c r="R6" s="243">
        <f>0.055</f>
        <v>5.5E-2</v>
      </c>
      <c r="S6" s="243">
        <f>0.14</f>
        <v>0.14000000000000001</v>
      </c>
      <c r="T6" s="243">
        <f>0.3</f>
        <v>0.3</v>
      </c>
      <c r="U6" s="243">
        <f>0.4</f>
        <v>0.4</v>
      </c>
      <c r="V6" s="136"/>
      <c r="W6" s="136"/>
      <c r="X6" s="136"/>
      <c r="Y6" s="136"/>
      <c r="Z6" s="136"/>
      <c r="AA6" s="136"/>
      <c r="AB6" s="136"/>
      <c r="AC6" s="136"/>
      <c r="AD6" s="136"/>
      <c r="AE6" s="257" t="s">
        <v>21</v>
      </c>
      <c r="AF6" s="213" t="s">
        <v>225</v>
      </c>
      <c r="AG6" s="214">
        <v>39810</v>
      </c>
      <c r="AH6" s="61"/>
      <c r="AI6" s="37"/>
      <c r="AJ6" s="37"/>
      <c r="AK6" s="37"/>
    </row>
    <row r="7" spans="1:37" ht="30" customHeight="1" x14ac:dyDescent="0.25">
      <c r="A7" s="227">
        <v>2008</v>
      </c>
      <c r="B7" s="227">
        <v>2007</v>
      </c>
      <c r="C7" s="241">
        <f>0</f>
        <v>0</v>
      </c>
      <c r="D7" s="241">
        <v>5687</v>
      </c>
      <c r="E7" s="241">
        <v>11344</v>
      </c>
      <c r="F7" s="241">
        <v>25195</v>
      </c>
      <c r="G7" s="241">
        <v>67546</v>
      </c>
      <c r="H7" s="136"/>
      <c r="I7" s="136"/>
      <c r="J7" s="198"/>
      <c r="K7" s="136"/>
      <c r="L7" s="136"/>
      <c r="M7" s="136"/>
      <c r="N7" s="136"/>
      <c r="O7" s="136"/>
      <c r="P7" s="136"/>
      <c r="Q7" s="242">
        <f>0%</f>
        <v>0</v>
      </c>
      <c r="R7" s="243">
        <f>0.055</f>
        <v>5.5E-2</v>
      </c>
      <c r="S7" s="243">
        <f>0.14</f>
        <v>0.14000000000000001</v>
      </c>
      <c r="T7" s="243">
        <f>0.3</f>
        <v>0.3</v>
      </c>
      <c r="U7" s="243">
        <f>0.4</f>
        <v>0.4</v>
      </c>
      <c r="V7" s="136"/>
      <c r="W7" s="136"/>
      <c r="X7" s="136"/>
      <c r="Y7" s="136"/>
      <c r="Z7" s="136"/>
      <c r="AA7" s="136"/>
      <c r="AB7" s="136"/>
      <c r="AC7" s="136"/>
      <c r="AD7" s="136"/>
      <c r="AE7" s="238" t="s">
        <v>22</v>
      </c>
      <c r="AF7" s="213" t="s">
        <v>226</v>
      </c>
      <c r="AG7" s="214">
        <v>39443</v>
      </c>
      <c r="AH7" s="61"/>
      <c r="AI7" s="37"/>
      <c r="AJ7" s="37"/>
      <c r="AK7" s="37"/>
    </row>
    <row r="8" spans="1:37" ht="30" customHeight="1" x14ac:dyDescent="0.25">
      <c r="A8" s="227">
        <v>2007</v>
      </c>
      <c r="B8" s="227">
        <v>2006</v>
      </c>
      <c r="C8" s="241">
        <f>0</f>
        <v>0</v>
      </c>
      <c r="D8" s="241">
        <v>5614</v>
      </c>
      <c r="E8" s="241">
        <v>11198</v>
      </c>
      <c r="F8" s="241">
        <v>24872</v>
      </c>
      <c r="G8" s="241">
        <v>66679</v>
      </c>
      <c r="H8" s="136"/>
      <c r="I8" s="136"/>
      <c r="J8" s="136"/>
      <c r="K8" s="136"/>
      <c r="L8" s="136"/>
      <c r="M8" s="136"/>
      <c r="N8" s="136"/>
      <c r="O8" s="136"/>
      <c r="P8" s="136"/>
      <c r="Q8" s="242">
        <f>0%</f>
        <v>0</v>
      </c>
      <c r="R8" s="243">
        <f>0.055</f>
        <v>5.5E-2</v>
      </c>
      <c r="S8" s="243">
        <f>0.14</f>
        <v>0.14000000000000001</v>
      </c>
      <c r="T8" s="243">
        <f>0.3</f>
        <v>0.3</v>
      </c>
      <c r="U8" s="243">
        <f>0.4</f>
        <v>0.4</v>
      </c>
      <c r="V8" s="136"/>
      <c r="W8" s="136"/>
      <c r="X8" s="136"/>
      <c r="Y8" s="136"/>
      <c r="Z8" s="136"/>
      <c r="AA8" s="136"/>
      <c r="AB8" s="136"/>
      <c r="AC8" s="136"/>
      <c r="AD8" s="136"/>
      <c r="AE8" s="257" t="s">
        <v>23</v>
      </c>
      <c r="AF8" s="213" t="s">
        <v>227</v>
      </c>
      <c r="AG8" s="214">
        <f>27/12/2006</f>
        <v>1.1216350947158525E-3</v>
      </c>
      <c r="AH8" s="261" t="s">
        <v>471</v>
      </c>
      <c r="AI8" s="37"/>
      <c r="AJ8" s="37"/>
      <c r="AK8" s="37"/>
    </row>
    <row r="9" spans="1:37" ht="30" customHeight="1" x14ac:dyDescent="0.25">
      <c r="A9" s="227">
        <v>2006</v>
      </c>
      <c r="B9" s="227">
        <v>2005</v>
      </c>
      <c r="C9" s="241">
        <f>0</f>
        <v>0</v>
      </c>
      <c r="D9" s="241">
        <v>4412</v>
      </c>
      <c r="E9" s="241">
        <v>8677</v>
      </c>
      <c r="F9" s="241">
        <v>15274</v>
      </c>
      <c r="G9" s="241">
        <v>24731</v>
      </c>
      <c r="H9" s="217">
        <v>40241</v>
      </c>
      <c r="I9" s="217">
        <v>49624</v>
      </c>
      <c r="J9" s="244"/>
      <c r="K9" s="244"/>
      <c r="L9" s="244"/>
      <c r="M9" s="245"/>
      <c r="N9" s="244"/>
      <c r="O9" s="244"/>
      <c r="P9" s="244"/>
      <c r="Q9" s="242">
        <f>0%</f>
        <v>0</v>
      </c>
      <c r="R9" s="243">
        <f>R10</f>
        <v>6.83E-2</v>
      </c>
      <c r="S9" s="243">
        <v>0.19139999999999999</v>
      </c>
      <c r="T9" s="243">
        <v>0.28260000000000002</v>
      </c>
      <c r="U9" s="243">
        <v>0.37380000000000002</v>
      </c>
      <c r="V9" s="243">
        <v>0.42620000000000002</v>
      </c>
      <c r="W9" s="243">
        <v>0.48089999999999999</v>
      </c>
      <c r="X9" s="244"/>
      <c r="Y9" s="244"/>
      <c r="Z9" s="244"/>
      <c r="AA9" s="244"/>
      <c r="AB9" s="244"/>
      <c r="AC9" s="244"/>
      <c r="AD9" s="244"/>
      <c r="AE9" s="257" t="s">
        <v>24</v>
      </c>
      <c r="AF9" s="213" t="s">
        <v>228</v>
      </c>
      <c r="AG9" s="214">
        <v>38717</v>
      </c>
      <c r="AH9" s="54"/>
      <c r="AI9" s="37"/>
      <c r="AJ9" s="37"/>
      <c r="AK9" s="37"/>
    </row>
    <row r="10" spans="1:37" ht="30" customHeight="1" x14ac:dyDescent="0.25">
      <c r="A10" s="227">
        <v>2005</v>
      </c>
      <c r="B10" s="227">
        <v>2004</v>
      </c>
      <c r="C10" s="241">
        <f>0</f>
        <v>0</v>
      </c>
      <c r="D10" s="241">
        <v>4334</v>
      </c>
      <c r="E10" s="241">
        <f>8524</f>
        <v>8524</v>
      </c>
      <c r="F10" s="241">
        <v>15004</v>
      </c>
      <c r="G10" s="241">
        <f>24294</f>
        <v>24294</v>
      </c>
      <c r="H10" s="217">
        <v>39529</v>
      </c>
      <c r="I10" s="217">
        <f>48747</f>
        <v>48747</v>
      </c>
      <c r="J10" s="244"/>
      <c r="K10" s="244"/>
      <c r="L10" s="244"/>
      <c r="M10" s="246"/>
      <c r="N10" s="244"/>
      <c r="O10" s="244"/>
      <c r="P10" s="244"/>
      <c r="Q10" s="242">
        <f>0%</f>
        <v>0</v>
      </c>
      <c r="R10" s="243">
        <f>6.83/100</f>
        <v>6.83E-2</v>
      </c>
      <c r="S10" s="243">
        <v>0.19139999999999999</v>
      </c>
      <c r="T10" s="243">
        <v>0.28260000000000002</v>
      </c>
      <c r="U10" s="243">
        <v>0.37380000000000002</v>
      </c>
      <c r="V10" s="243">
        <v>0.42620000000000002</v>
      </c>
      <c r="W10" s="243">
        <v>0.48089999999999999</v>
      </c>
      <c r="X10" s="244"/>
      <c r="Y10" s="244"/>
      <c r="Z10" s="244"/>
      <c r="AA10" s="244"/>
      <c r="AB10" s="244"/>
      <c r="AC10" s="244"/>
      <c r="AD10" s="244"/>
      <c r="AE10" s="257" t="s">
        <v>25</v>
      </c>
      <c r="AF10" s="213" t="s">
        <v>229</v>
      </c>
      <c r="AG10" s="214">
        <v>38352</v>
      </c>
      <c r="AH10" s="61"/>
      <c r="AI10" s="37"/>
      <c r="AJ10" s="37"/>
      <c r="AK10" s="37"/>
    </row>
    <row r="11" spans="1:37" ht="30" customHeight="1" x14ac:dyDescent="0.25">
      <c r="A11" s="227">
        <v>2004</v>
      </c>
      <c r="B11" s="227">
        <v>2003</v>
      </c>
      <c r="C11" s="241">
        <f>0</f>
        <v>0</v>
      </c>
      <c r="D11" s="241">
        <f>4262</f>
        <v>4262</v>
      </c>
      <c r="E11" s="241">
        <f>8382</f>
        <v>8382</v>
      </c>
      <c r="F11" s="241">
        <f>14753</f>
        <v>14753</v>
      </c>
      <c r="G11" s="241">
        <v>23888</v>
      </c>
      <c r="H11" s="217">
        <v>38868</v>
      </c>
      <c r="I11" s="217">
        <f>47932</f>
        <v>47932</v>
      </c>
      <c r="J11" s="244"/>
      <c r="K11" s="244"/>
      <c r="L11" s="244"/>
      <c r="M11" s="245"/>
      <c r="N11" s="244"/>
      <c r="O11" s="244"/>
      <c r="P11" s="244"/>
      <c r="Q11" s="242">
        <f>0%</f>
        <v>0</v>
      </c>
      <c r="R11" s="243">
        <v>6.83E-2</v>
      </c>
      <c r="S11" s="243">
        <v>0.19139999999999999</v>
      </c>
      <c r="T11" s="243">
        <v>0.28260000000000002</v>
      </c>
      <c r="U11" s="243">
        <v>0.37380000000000002</v>
      </c>
      <c r="V11" s="243">
        <v>0.42620000000000002</v>
      </c>
      <c r="W11" s="243">
        <v>0.48089999999999999</v>
      </c>
      <c r="X11" s="244"/>
      <c r="Y11" s="244"/>
      <c r="Z11" s="244"/>
      <c r="AA11" s="244"/>
      <c r="AB11" s="244"/>
      <c r="AC11" s="244"/>
      <c r="AD11" s="244"/>
      <c r="AE11" s="257" t="s">
        <v>26</v>
      </c>
      <c r="AF11" s="213" t="s">
        <v>230</v>
      </c>
      <c r="AG11" s="214">
        <v>37986</v>
      </c>
      <c r="AH11" s="61"/>
      <c r="AI11" s="37"/>
      <c r="AJ11" s="37"/>
      <c r="AK11" s="37"/>
    </row>
    <row r="12" spans="1:37" ht="30" customHeight="1" x14ac:dyDescent="0.25">
      <c r="A12" s="227">
        <v>2003</v>
      </c>
      <c r="B12" s="227">
        <v>2002</v>
      </c>
      <c r="C12" s="241">
        <f>0</f>
        <v>0</v>
      </c>
      <c r="D12" s="241">
        <v>4191</v>
      </c>
      <c r="E12" s="241">
        <v>8242</v>
      </c>
      <c r="F12" s="241">
        <v>14506</v>
      </c>
      <c r="G12" s="241">
        <v>23489</v>
      </c>
      <c r="H12" s="217">
        <v>38218</v>
      </c>
      <c r="I12" s="39">
        <f>47131</f>
        <v>47131</v>
      </c>
      <c r="J12" s="244"/>
      <c r="K12" s="244"/>
      <c r="L12" s="244"/>
      <c r="M12" s="244"/>
      <c r="N12" s="244"/>
      <c r="O12" s="244"/>
      <c r="P12" s="244"/>
      <c r="Q12" s="242">
        <f>0%</f>
        <v>0</v>
      </c>
      <c r="R12" s="243">
        <f>7.05/100</f>
        <v>7.0499999999999993E-2</v>
      </c>
      <c r="S12" s="243">
        <f>19.74/100</f>
        <v>0.19739999999999999</v>
      </c>
      <c r="T12" s="243">
        <f>29.14/100</f>
        <v>0.29139999999999999</v>
      </c>
      <c r="U12" s="243">
        <f>38.54/100</f>
        <v>0.38539999999999996</v>
      </c>
      <c r="V12" s="243">
        <f>43.94/100</f>
        <v>0.43939999999999996</v>
      </c>
      <c r="W12" s="243">
        <f>49.58/100</f>
        <v>0.49579999999999996</v>
      </c>
      <c r="X12" s="244"/>
      <c r="Y12" s="244"/>
      <c r="Z12" s="244"/>
      <c r="AA12" s="244"/>
      <c r="AB12" s="244"/>
      <c r="AC12" s="244"/>
      <c r="AD12" s="244"/>
      <c r="AE12" s="257" t="s">
        <v>27</v>
      </c>
      <c r="AF12" s="213" t="s">
        <v>231</v>
      </c>
      <c r="AG12" s="214">
        <v>37621</v>
      </c>
      <c r="AH12" s="61"/>
      <c r="AI12" s="37"/>
      <c r="AJ12" s="37"/>
      <c r="AK12" s="37"/>
    </row>
    <row r="13" spans="1:37" ht="30" customHeight="1" x14ac:dyDescent="0.25">
      <c r="A13" s="227">
        <v>2002</v>
      </c>
      <c r="B13" s="227">
        <v>2001</v>
      </c>
      <c r="C13" s="241">
        <f>0</f>
        <v>0</v>
      </c>
      <c r="D13" s="241">
        <f>4121</f>
        <v>4121</v>
      </c>
      <c r="E13" s="241">
        <f>8104</f>
        <v>8104</v>
      </c>
      <c r="F13" s="241">
        <v>14264</v>
      </c>
      <c r="G13" s="241">
        <v>23096</v>
      </c>
      <c r="H13" s="217">
        <v>37579</v>
      </c>
      <c r="I13" s="217">
        <v>46343</v>
      </c>
      <c r="J13" s="244"/>
      <c r="K13" s="244"/>
      <c r="L13" s="245"/>
      <c r="M13" s="245"/>
      <c r="N13" s="244"/>
      <c r="O13" s="244"/>
      <c r="P13" s="244"/>
      <c r="Q13" s="242">
        <f>0%</f>
        <v>0</v>
      </c>
      <c r="R13" s="243">
        <f>7.5/100</f>
        <v>7.4999999999999997E-2</v>
      </c>
      <c r="S13" s="243">
        <f>21/100</f>
        <v>0.21</v>
      </c>
      <c r="T13" s="243">
        <f>31/100</f>
        <v>0.31</v>
      </c>
      <c r="U13" s="243">
        <f>41/100</f>
        <v>0.41</v>
      </c>
      <c r="V13" s="243">
        <f>46.75/100</f>
        <v>0.46750000000000003</v>
      </c>
      <c r="W13" s="243">
        <f>52.75/100</f>
        <v>0.52749999999999997</v>
      </c>
      <c r="X13" s="244"/>
      <c r="Y13" s="244"/>
      <c r="Z13" s="244"/>
      <c r="AA13" s="244"/>
      <c r="AB13" s="244"/>
      <c r="AC13" s="244"/>
      <c r="AD13" s="244"/>
      <c r="AE13" s="257" t="s">
        <v>28</v>
      </c>
      <c r="AF13" s="213" t="s">
        <v>232</v>
      </c>
      <c r="AG13" s="214">
        <v>37254</v>
      </c>
      <c r="AH13" s="61"/>
      <c r="AI13" s="37"/>
      <c r="AJ13" s="37"/>
      <c r="AK13" s="37"/>
    </row>
    <row r="14" spans="1:37" ht="30" customHeight="1" x14ac:dyDescent="0.25">
      <c r="A14" s="227">
        <v>2001</v>
      </c>
      <c r="B14" s="227">
        <v>2000</v>
      </c>
      <c r="C14" s="219">
        <f>0</f>
        <v>0</v>
      </c>
      <c r="D14" s="219">
        <f>26600</f>
        <v>26600</v>
      </c>
      <c r="E14" s="219">
        <f>52320</f>
        <v>52320</v>
      </c>
      <c r="F14" s="219">
        <f>92090</f>
        <v>92090</v>
      </c>
      <c r="G14" s="219">
        <f>149110</f>
        <v>149110</v>
      </c>
      <c r="H14" s="219">
        <v>242620</v>
      </c>
      <c r="I14" s="219">
        <v>299200</v>
      </c>
      <c r="J14" s="244"/>
      <c r="K14" s="244"/>
      <c r="L14" s="245"/>
      <c r="M14" s="244"/>
      <c r="N14" s="244"/>
      <c r="O14" s="244"/>
      <c r="P14" s="244"/>
      <c r="Q14" s="242">
        <f>0%</f>
        <v>0</v>
      </c>
      <c r="R14" s="243">
        <f>8.25/100</f>
        <v>8.2500000000000004E-2</v>
      </c>
      <c r="S14" s="243">
        <f>21.75/100</f>
        <v>0.2175</v>
      </c>
      <c r="T14" s="243">
        <f>31.75/100</f>
        <v>0.3175</v>
      </c>
      <c r="U14" s="243">
        <f>41.75/100</f>
        <v>0.41749999999999998</v>
      </c>
      <c r="V14" s="243">
        <f>47.25/100</f>
        <v>0.47249999999999998</v>
      </c>
      <c r="W14" s="243">
        <f>53.25/100</f>
        <v>0.53249999999999997</v>
      </c>
      <c r="X14" s="244"/>
      <c r="Y14" s="244"/>
      <c r="Z14" s="244"/>
      <c r="AA14" s="244"/>
      <c r="AB14" s="244"/>
      <c r="AC14" s="244"/>
      <c r="AD14" s="244"/>
      <c r="AE14" s="257" t="s">
        <v>29</v>
      </c>
      <c r="AF14" s="213" t="s">
        <v>233</v>
      </c>
      <c r="AG14" s="214">
        <v>36891</v>
      </c>
      <c r="AH14" s="220"/>
      <c r="AI14" s="37"/>
      <c r="AJ14" s="37"/>
      <c r="AK14" s="37"/>
    </row>
    <row r="15" spans="1:37" ht="30" customHeight="1" x14ac:dyDescent="0.25">
      <c r="A15" s="227">
        <v>2000</v>
      </c>
      <c r="B15" s="227">
        <v>1999</v>
      </c>
      <c r="C15" s="219">
        <v>0</v>
      </c>
      <c r="D15" s="44">
        <f>26230</f>
        <v>26230</v>
      </c>
      <c r="E15" s="219">
        <f>51600</f>
        <v>51600</v>
      </c>
      <c r="F15" s="219">
        <f>90820</f>
        <v>90820</v>
      </c>
      <c r="G15" s="219">
        <f>147050</f>
        <v>147050</v>
      </c>
      <c r="H15" s="219">
        <v>239270.00000000003</v>
      </c>
      <c r="I15" s="219">
        <v>295070</v>
      </c>
      <c r="J15" s="244"/>
      <c r="K15" s="244"/>
      <c r="L15" s="244"/>
      <c r="M15" s="244"/>
      <c r="N15" s="244"/>
      <c r="O15" s="244"/>
      <c r="P15" s="244"/>
      <c r="Q15" s="242">
        <f>0%</f>
        <v>0</v>
      </c>
      <c r="R15" s="138">
        <f>9.5/100</f>
        <v>9.5000000000000001E-2</v>
      </c>
      <c r="S15" s="243">
        <f>23/100</f>
        <v>0.23</v>
      </c>
      <c r="T15" s="243">
        <f>33/100</f>
        <v>0.33</v>
      </c>
      <c r="U15" s="243">
        <f>43/100</f>
        <v>0.43</v>
      </c>
      <c r="V15" s="243">
        <f>48/100</f>
        <v>0.48</v>
      </c>
      <c r="W15" s="243">
        <f>54/100</f>
        <v>0.54</v>
      </c>
      <c r="X15" s="244"/>
      <c r="Y15" s="244"/>
      <c r="Z15" s="244"/>
      <c r="AA15" s="244"/>
      <c r="AB15" s="244"/>
      <c r="AC15" s="244"/>
      <c r="AD15" s="244"/>
      <c r="AE15" s="257" t="s">
        <v>30</v>
      </c>
      <c r="AF15" s="51" t="s">
        <v>473</v>
      </c>
      <c r="AG15" s="214"/>
      <c r="AH15" s="70"/>
      <c r="AI15" s="37"/>
      <c r="AJ15" s="37"/>
      <c r="AK15" s="37"/>
    </row>
    <row r="16" spans="1:37" ht="30" customHeight="1" x14ac:dyDescent="0.25">
      <c r="A16" s="227">
        <v>1999</v>
      </c>
      <c r="B16" s="227">
        <v>1998</v>
      </c>
      <c r="C16" s="219">
        <f>0</f>
        <v>0</v>
      </c>
      <c r="D16" s="219">
        <f>26100</f>
        <v>26100</v>
      </c>
      <c r="E16" s="219">
        <f>51340</f>
        <v>51340</v>
      </c>
      <c r="F16" s="219">
        <f>90370</f>
        <v>90370</v>
      </c>
      <c r="G16" s="219">
        <f>146320</f>
        <v>146320</v>
      </c>
      <c r="H16" s="219">
        <v>238080.00000000003</v>
      </c>
      <c r="I16" s="219">
        <v>293600</v>
      </c>
      <c r="J16" s="244"/>
      <c r="K16" s="244"/>
      <c r="L16" s="244"/>
      <c r="M16" s="244"/>
      <c r="N16" s="244"/>
      <c r="O16" s="244"/>
      <c r="P16" s="244"/>
      <c r="Q16" s="242">
        <f>0%</f>
        <v>0</v>
      </c>
      <c r="R16" s="243">
        <v>0.105</v>
      </c>
      <c r="S16" s="243">
        <f>24%</f>
        <v>0.24</v>
      </c>
      <c r="T16" s="243">
        <f>33%</f>
        <v>0.33</v>
      </c>
      <c r="U16" s="243">
        <f>43%</f>
        <v>0.43</v>
      </c>
      <c r="V16" s="243">
        <f>48%</f>
        <v>0.48</v>
      </c>
      <c r="W16" s="243">
        <f>54%</f>
        <v>0.54</v>
      </c>
      <c r="X16" s="244"/>
      <c r="Y16" s="244"/>
      <c r="Z16" s="244"/>
      <c r="AA16" s="244"/>
      <c r="AB16" s="244"/>
      <c r="AC16" s="244"/>
      <c r="AD16" s="244"/>
      <c r="AE16" s="257" t="s">
        <v>29</v>
      </c>
      <c r="AF16" s="213" t="s">
        <v>235</v>
      </c>
      <c r="AG16" s="214">
        <v>36160</v>
      </c>
      <c r="AH16" s="70"/>
      <c r="AI16" s="37"/>
      <c r="AJ16" s="37"/>
      <c r="AK16" s="37"/>
    </row>
    <row r="17" spans="1:37" ht="30" customHeight="1" x14ac:dyDescent="0.25">
      <c r="A17" s="227">
        <v>1998</v>
      </c>
      <c r="B17" s="227">
        <v>1997</v>
      </c>
      <c r="C17" s="58">
        <v>0</v>
      </c>
      <c r="D17" s="58">
        <v>25890</v>
      </c>
      <c r="E17" s="58">
        <v>50930</v>
      </c>
      <c r="F17" s="58">
        <v>89650</v>
      </c>
      <c r="G17" s="58">
        <v>145160</v>
      </c>
      <c r="H17" s="58">
        <v>236190</v>
      </c>
      <c r="I17" s="58">
        <v>291270</v>
      </c>
      <c r="J17" s="244"/>
      <c r="K17" s="244"/>
      <c r="L17" s="244"/>
      <c r="M17" s="244"/>
      <c r="N17" s="244"/>
      <c r="O17" s="244"/>
      <c r="P17" s="244"/>
      <c r="Q17" s="242">
        <f>0%</f>
        <v>0</v>
      </c>
      <c r="R17" s="243">
        <v>0.105</v>
      </c>
      <c r="S17" s="243">
        <f>24%</f>
        <v>0.24</v>
      </c>
      <c r="T17" s="243">
        <f>33%</f>
        <v>0.33</v>
      </c>
      <c r="U17" s="243">
        <f>43%</f>
        <v>0.43</v>
      </c>
      <c r="V17" s="243">
        <f>48%</f>
        <v>0.48</v>
      </c>
      <c r="W17" s="243">
        <f>54%</f>
        <v>0.54</v>
      </c>
      <c r="X17" s="244"/>
      <c r="Y17" s="244"/>
      <c r="Z17" s="244"/>
      <c r="AA17" s="244"/>
      <c r="AB17" s="244"/>
      <c r="AC17" s="244"/>
      <c r="AD17" s="244"/>
      <c r="AE17" s="257"/>
      <c r="AF17" s="213" t="s">
        <v>236</v>
      </c>
      <c r="AG17" s="214">
        <v>35795</v>
      </c>
      <c r="AH17" s="70"/>
      <c r="AI17" s="37"/>
      <c r="AJ17" s="37"/>
      <c r="AK17" s="37"/>
    </row>
    <row r="18" spans="1:37" ht="30" customHeight="1" x14ac:dyDescent="0.25">
      <c r="A18" s="227">
        <v>1997</v>
      </c>
      <c r="B18" s="227">
        <v>1996</v>
      </c>
      <c r="C18" s="219">
        <v>0</v>
      </c>
      <c r="D18" s="219">
        <f>25610</f>
        <v>25610</v>
      </c>
      <c r="E18" s="219">
        <f>50380</f>
        <v>50380</v>
      </c>
      <c r="F18" s="219">
        <f>88670</f>
        <v>88670</v>
      </c>
      <c r="G18" s="219">
        <f>143580</f>
        <v>143580</v>
      </c>
      <c r="H18" s="219">
        <v>233620</v>
      </c>
      <c r="I18" s="219">
        <v>288100</v>
      </c>
      <c r="J18" s="244"/>
      <c r="K18" s="244"/>
      <c r="L18" s="244"/>
      <c r="M18" s="244"/>
      <c r="N18" s="244"/>
      <c r="O18" s="244"/>
      <c r="P18" s="244"/>
      <c r="Q18" s="242">
        <f>0%</f>
        <v>0</v>
      </c>
      <c r="R18" s="243">
        <f>0.105</f>
        <v>0.105</v>
      </c>
      <c r="S18" s="243">
        <f>24%</f>
        <v>0.24</v>
      </c>
      <c r="T18" s="243">
        <f>33%</f>
        <v>0.33</v>
      </c>
      <c r="U18" s="243">
        <f>43%</f>
        <v>0.43</v>
      </c>
      <c r="V18" s="243">
        <f>48%</f>
        <v>0.48</v>
      </c>
      <c r="W18" s="243">
        <f>54%</f>
        <v>0.54</v>
      </c>
      <c r="X18" s="244"/>
      <c r="Y18" s="244"/>
      <c r="Z18" s="244"/>
      <c r="AA18" s="244"/>
      <c r="AB18" s="244"/>
      <c r="AC18" s="244"/>
      <c r="AD18" s="244"/>
      <c r="AE18" s="257"/>
      <c r="AF18" s="218" t="s">
        <v>237</v>
      </c>
      <c r="AG18" s="214">
        <v>35430</v>
      </c>
      <c r="AH18" s="70"/>
      <c r="AI18" s="37"/>
      <c r="AJ18" s="37"/>
      <c r="AK18" s="37"/>
    </row>
    <row r="19" spans="1:37" ht="30" customHeight="1" x14ac:dyDescent="0.25">
      <c r="A19" s="227">
        <v>1996</v>
      </c>
      <c r="B19" s="227">
        <v>1995</v>
      </c>
      <c r="C19" s="219">
        <v>0</v>
      </c>
      <c r="D19" s="219">
        <v>22610</v>
      </c>
      <c r="E19" s="219">
        <v>49440</v>
      </c>
      <c r="F19" s="219">
        <v>87020</v>
      </c>
      <c r="G19" s="219">
        <v>140900</v>
      </c>
      <c r="H19" s="219">
        <v>229260</v>
      </c>
      <c r="I19" s="219">
        <v>282730</v>
      </c>
      <c r="J19" s="244"/>
      <c r="K19" s="244"/>
      <c r="L19" s="244"/>
      <c r="M19" s="244"/>
      <c r="N19" s="244"/>
      <c r="O19" s="244"/>
      <c r="P19" s="244"/>
      <c r="Q19" s="243">
        <v>0</v>
      </c>
      <c r="R19" s="243">
        <v>0.12</v>
      </c>
      <c r="S19" s="243">
        <v>0.25</v>
      </c>
      <c r="T19" s="243">
        <v>0.35</v>
      </c>
      <c r="U19" s="243">
        <v>0.45</v>
      </c>
      <c r="V19" s="243">
        <v>0.5</v>
      </c>
      <c r="W19" s="243">
        <v>0.56799999999999995</v>
      </c>
      <c r="X19" s="244"/>
      <c r="Y19" s="244"/>
      <c r="Z19" s="244"/>
      <c r="AA19" s="244"/>
      <c r="AB19" s="244"/>
      <c r="AC19" s="244"/>
      <c r="AD19" s="244"/>
      <c r="AE19" s="238"/>
      <c r="AF19" s="218" t="s">
        <v>238</v>
      </c>
      <c r="AG19" s="222">
        <v>35064</v>
      </c>
      <c r="AH19" s="70"/>
      <c r="AI19" s="37"/>
      <c r="AJ19" s="37"/>
      <c r="AK19" s="37"/>
    </row>
    <row r="20" spans="1:37" ht="30" customHeight="1" x14ac:dyDescent="0.25">
      <c r="A20" s="227">
        <v>1995</v>
      </c>
      <c r="B20" s="227">
        <v>1994</v>
      </c>
      <c r="C20" s="219">
        <v>0</v>
      </c>
      <c r="D20" s="58">
        <v>22210</v>
      </c>
      <c r="E20" s="58">
        <v>48750</v>
      </c>
      <c r="F20" s="58">
        <v>85480</v>
      </c>
      <c r="G20" s="58">
        <v>138410</v>
      </c>
      <c r="H20" s="58">
        <v>225210</v>
      </c>
      <c r="I20" s="58">
        <v>277730</v>
      </c>
      <c r="J20" s="139"/>
      <c r="K20" s="139"/>
      <c r="L20" s="139"/>
      <c r="M20" s="139"/>
      <c r="N20" s="139"/>
      <c r="O20" s="139"/>
      <c r="P20" s="139"/>
      <c r="Q20" s="59">
        <v>0</v>
      </c>
      <c r="R20" s="59">
        <v>0.12</v>
      </c>
      <c r="S20" s="59">
        <v>0.25</v>
      </c>
      <c r="T20" s="59">
        <v>0.35</v>
      </c>
      <c r="U20" s="59">
        <v>0.45</v>
      </c>
      <c r="V20" s="59">
        <v>0.5</v>
      </c>
      <c r="W20" s="59">
        <v>0.56799999999999995</v>
      </c>
      <c r="X20" s="139"/>
      <c r="Y20" s="139"/>
      <c r="Z20" s="139"/>
      <c r="AA20" s="139"/>
      <c r="AB20" s="139"/>
      <c r="AC20" s="139"/>
      <c r="AD20" s="139"/>
      <c r="AE20" s="255"/>
      <c r="AF20" s="218" t="s">
        <v>239</v>
      </c>
      <c r="AG20" s="222">
        <v>34698</v>
      </c>
      <c r="AH20" s="70"/>
      <c r="AI20" s="37"/>
      <c r="AJ20" s="37"/>
      <c r="AK20" s="37"/>
    </row>
    <row r="21" spans="1:37" ht="30" customHeight="1" x14ac:dyDescent="0.25">
      <c r="A21" s="227">
        <v>1994</v>
      </c>
      <c r="B21" s="227">
        <v>1993</v>
      </c>
      <c r="C21" s="219">
        <v>0</v>
      </c>
      <c r="D21" s="58">
        <v>21900</v>
      </c>
      <c r="E21" s="58">
        <v>47900</v>
      </c>
      <c r="F21" s="58">
        <v>84300</v>
      </c>
      <c r="G21" s="58">
        <v>136500</v>
      </c>
      <c r="H21" s="58">
        <v>222100</v>
      </c>
      <c r="I21" s="58">
        <v>273900</v>
      </c>
      <c r="J21" s="139"/>
      <c r="K21" s="139"/>
      <c r="L21" s="139"/>
      <c r="M21" s="139"/>
      <c r="N21" s="139"/>
      <c r="O21" s="139"/>
      <c r="P21" s="139"/>
      <c r="Q21" s="59">
        <v>0</v>
      </c>
      <c r="R21" s="59">
        <v>0.12</v>
      </c>
      <c r="S21" s="59">
        <v>0.25</v>
      </c>
      <c r="T21" s="59">
        <v>0.35</v>
      </c>
      <c r="U21" s="59">
        <v>0.45</v>
      </c>
      <c r="V21" s="59">
        <v>0.5</v>
      </c>
      <c r="W21" s="59">
        <v>0.56799999999999995</v>
      </c>
      <c r="X21" s="139"/>
      <c r="Y21" s="139"/>
      <c r="Z21" s="139"/>
      <c r="AA21" s="139"/>
      <c r="AB21" s="139"/>
      <c r="AC21" s="139"/>
      <c r="AD21" s="139"/>
      <c r="AE21" s="255" t="s">
        <v>343</v>
      </c>
      <c r="AF21" s="230"/>
      <c r="AG21" s="62"/>
      <c r="AH21" s="70"/>
      <c r="AI21" s="37"/>
      <c r="AJ21" s="37"/>
      <c r="AK21" s="37"/>
    </row>
    <row r="22" spans="1:37" ht="30" customHeight="1" x14ac:dyDescent="0.25">
      <c r="A22" s="227">
        <v>1993</v>
      </c>
      <c r="B22" s="227">
        <v>1992</v>
      </c>
      <c r="C22" s="219">
        <v>0</v>
      </c>
      <c r="D22" s="58">
        <v>19220</v>
      </c>
      <c r="E22" s="58">
        <v>20080</v>
      </c>
      <c r="F22" s="58">
        <v>23800</v>
      </c>
      <c r="G22" s="58">
        <v>37620</v>
      </c>
      <c r="H22" s="58">
        <v>48350</v>
      </c>
      <c r="I22" s="58">
        <v>60690</v>
      </c>
      <c r="J22" s="58">
        <v>73450</v>
      </c>
      <c r="K22" s="58">
        <v>84740</v>
      </c>
      <c r="L22" s="58">
        <v>141190</v>
      </c>
      <c r="M22" s="58">
        <v>194190</v>
      </c>
      <c r="N22" s="58">
        <v>229710</v>
      </c>
      <c r="O22" s="58">
        <v>261290</v>
      </c>
      <c r="P22" s="140"/>
      <c r="Q22" s="59">
        <v>0</v>
      </c>
      <c r="R22" s="141">
        <v>0.05</v>
      </c>
      <c r="S22" s="141">
        <v>9.6000000000000002E-2</v>
      </c>
      <c r="T22" s="141">
        <v>0.14399999999999999</v>
      </c>
      <c r="U22" s="141">
        <v>0.192</v>
      </c>
      <c r="V22" s="142">
        <v>0.24</v>
      </c>
      <c r="W22" s="142">
        <v>0.28799999999999998</v>
      </c>
      <c r="X22" s="142">
        <v>0.33600000000000002</v>
      </c>
      <c r="Y22" s="142">
        <v>0.38400000000000001</v>
      </c>
      <c r="Z22" s="142">
        <v>0.432</v>
      </c>
      <c r="AA22" s="142">
        <v>0.49</v>
      </c>
      <c r="AB22" s="142">
        <v>0.53900000000000003</v>
      </c>
      <c r="AC22" s="142">
        <v>0.56799999999999995</v>
      </c>
      <c r="AD22" s="143"/>
      <c r="AE22" s="255"/>
      <c r="AF22" s="71"/>
      <c r="AG22" s="62"/>
      <c r="AH22" s="70"/>
      <c r="AI22" s="37"/>
      <c r="AJ22" s="37"/>
      <c r="AK22" s="37"/>
    </row>
    <row r="23" spans="1:37" ht="30" customHeight="1" x14ac:dyDescent="0.25">
      <c r="A23" s="227">
        <v>1992</v>
      </c>
      <c r="B23" s="227">
        <v>1991</v>
      </c>
      <c r="C23" s="219">
        <v>0</v>
      </c>
      <c r="D23" s="58">
        <v>18690</v>
      </c>
      <c r="E23" s="58">
        <v>19530</v>
      </c>
      <c r="F23" s="58">
        <v>23150</v>
      </c>
      <c r="G23" s="58">
        <v>36590</v>
      </c>
      <c r="H23" s="58">
        <v>47030</v>
      </c>
      <c r="I23" s="58">
        <v>59040</v>
      </c>
      <c r="J23" s="58">
        <v>71450</v>
      </c>
      <c r="K23" s="58">
        <v>82430</v>
      </c>
      <c r="L23" s="58">
        <v>137340</v>
      </c>
      <c r="M23" s="58">
        <v>188900</v>
      </c>
      <c r="N23" s="58">
        <v>223450</v>
      </c>
      <c r="O23" s="58">
        <v>254170</v>
      </c>
      <c r="P23" s="140"/>
      <c r="Q23" s="59">
        <v>0</v>
      </c>
      <c r="R23" s="141">
        <v>0.05</v>
      </c>
      <c r="S23" s="141">
        <v>9.6000000000000002E-2</v>
      </c>
      <c r="T23" s="141">
        <v>0.14399999999999999</v>
      </c>
      <c r="U23" s="141">
        <v>0.192</v>
      </c>
      <c r="V23" s="142">
        <v>0.24</v>
      </c>
      <c r="W23" s="142">
        <v>0.28799999999999998</v>
      </c>
      <c r="X23" s="142">
        <v>0.33600000000000002</v>
      </c>
      <c r="Y23" s="142">
        <v>0.38400000000000001</v>
      </c>
      <c r="Z23" s="142">
        <v>0.432</v>
      </c>
      <c r="AA23" s="142">
        <v>0.49</v>
      </c>
      <c r="AB23" s="142">
        <v>0.53900000000000003</v>
      </c>
      <c r="AC23" s="142">
        <v>0.56799999999999995</v>
      </c>
      <c r="AD23" s="143"/>
      <c r="AE23" s="255"/>
      <c r="AF23" s="144"/>
      <c r="AG23" s="62"/>
      <c r="AH23" s="145"/>
      <c r="AI23" s="37"/>
      <c r="AJ23" s="37"/>
      <c r="AK23" s="37"/>
    </row>
    <row r="24" spans="1:37" ht="30" customHeight="1" x14ac:dyDescent="0.25">
      <c r="A24" s="227">
        <v>1991</v>
      </c>
      <c r="B24" s="227">
        <v>1990</v>
      </c>
      <c r="C24" s="219">
        <v>0</v>
      </c>
      <c r="D24" s="58">
        <v>18140</v>
      </c>
      <c r="E24" s="58">
        <v>18960</v>
      </c>
      <c r="F24" s="58">
        <v>22470</v>
      </c>
      <c r="G24" s="58">
        <v>35520</v>
      </c>
      <c r="H24" s="58">
        <v>45660</v>
      </c>
      <c r="I24" s="58">
        <v>57320</v>
      </c>
      <c r="J24" s="58">
        <v>69370</v>
      </c>
      <c r="K24" s="58">
        <v>80030</v>
      </c>
      <c r="L24" s="58">
        <v>133340</v>
      </c>
      <c r="M24" s="58">
        <v>183400</v>
      </c>
      <c r="N24" s="58">
        <v>216940</v>
      </c>
      <c r="O24" s="58">
        <v>246770</v>
      </c>
      <c r="P24" s="140"/>
      <c r="Q24" s="59">
        <v>0</v>
      </c>
      <c r="R24" s="141">
        <v>0.05</v>
      </c>
      <c r="S24" s="141">
        <v>9.6000000000000002E-2</v>
      </c>
      <c r="T24" s="141">
        <v>0.14399999999999999</v>
      </c>
      <c r="U24" s="141">
        <v>0.192</v>
      </c>
      <c r="V24" s="142">
        <v>0.24</v>
      </c>
      <c r="W24" s="142">
        <v>0.28799999999999998</v>
      </c>
      <c r="X24" s="142">
        <v>0.33600000000000002</v>
      </c>
      <c r="Y24" s="142">
        <v>0.38400000000000001</v>
      </c>
      <c r="Z24" s="142">
        <v>0.432</v>
      </c>
      <c r="AA24" s="142">
        <v>0.49</v>
      </c>
      <c r="AB24" s="142">
        <v>0.53900000000000003</v>
      </c>
      <c r="AC24" s="142">
        <v>0.56799999999999995</v>
      </c>
      <c r="AD24" s="143"/>
      <c r="AE24" s="255"/>
      <c r="AF24" s="144"/>
      <c r="AG24" s="62"/>
      <c r="AH24" s="145"/>
      <c r="AI24" s="37"/>
      <c r="AJ24" s="37"/>
      <c r="AK24" s="37"/>
    </row>
    <row r="25" spans="1:37" ht="30" customHeight="1" x14ac:dyDescent="0.25">
      <c r="A25" s="227">
        <v>1990</v>
      </c>
      <c r="B25" s="227">
        <v>1989</v>
      </c>
      <c r="C25" s="219">
        <v>0</v>
      </c>
      <c r="D25" s="58">
        <v>17570</v>
      </c>
      <c r="E25" s="58">
        <v>18370</v>
      </c>
      <c r="F25" s="58">
        <v>21770</v>
      </c>
      <c r="G25" s="58">
        <v>34410</v>
      </c>
      <c r="H25" s="58">
        <v>44240</v>
      </c>
      <c r="I25" s="58">
        <v>55540</v>
      </c>
      <c r="J25" s="58">
        <v>67220</v>
      </c>
      <c r="K25" s="58">
        <v>77550</v>
      </c>
      <c r="L25" s="58">
        <v>129210</v>
      </c>
      <c r="M25" s="58">
        <v>117710</v>
      </c>
      <c r="N25" s="58">
        <v>210210</v>
      </c>
      <c r="O25" s="58">
        <v>239120</v>
      </c>
      <c r="P25" s="140"/>
      <c r="Q25" s="59">
        <v>0</v>
      </c>
      <c r="R25" s="141">
        <v>0.05</v>
      </c>
      <c r="S25" s="141">
        <v>9.6000000000000002E-2</v>
      </c>
      <c r="T25" s="141">
        <v>0.14399999999999999</v>
      </c>
      <c r="U25" s="141">
        <v>0.192</v>
      </c>
      <c r="V25" s="142">
        <v>0.24</v>
      </c>
      <c r="W25" s="142">
        <v>0.28799999999999998</v>
      </c>
      <c r="X25" s="142">
        <v>0.33600000000000002</v>
      </c>
      <c r="Y25" s="142">
        <v>0.38400000000000001</v>
      </c>
      <c r="Z25" s="142">
        <v>0.432</v>
      </c>
      <c r="AA25" s="142">
        <v>0.49</v>
      </c>
      <c r="AB25" s="142">
        <v>0.53900000000000003</v>
      </c>
      <c r="AC25" s="142">
        <v>0.56799999999999995</v>
      </c>
      <c r="AD25" s="143"/>
      <c r="AE25" s="255"/>
      <c r="AF25" s="144"/>
      <c r="AG25" s="62"/>
      <c r="AH25" s="145"/>
      <c r="AI25" s="37"/>
      <c r="AJ25" s="37"/>
      <c r="AK25" s="37"/>
    </row>
    <row r="26" spans="1:37" ht="30" customHeight="1" x14ac:dyDescent="0.25">
      <c r="A26" s="227">
        <v>1989</v>
      </c>
      <c r="B26" s="227">
        <v>1988</v>
      </c>
      <c r="C26" s="219">
        <v>0</v>
      </c>
      <c r="D26" s="58">
        <v>17000</v>
      </c>
      <c r="E26" s="58">
        <v>17780</v>
      </c>
      <c r="F26" s="58">
        <v>21070</v>
      </c>
      <c r="G26" s="58">
        <v>33310</v>
      </c>
      <c r="H26" s="58">
        <v>42820</v>
      </c>
      <c r="I26" s="58">
        <v>53770</v>
      </c>
      <c r="J26" s="58">
        <v>65070</v>
      </c>
      <c r="K26" s="58">
        <v>75070</v>
      </c>
      <c r="L26" s="58">
        <v>125080</v>
      </c>
      <c r="M26" s="58">
        <v>172030</v>
      </c>
      <c r="N26" s="58">
        <v>203490</v>
      </c>
      <c r="O26" s="58">
        <v>231480</v>
      </c>
      <c r="P26" s="140"/>
      <c r="Q26" s="59">
        <v>0</v>
      </c>
      <c r="R26" s="141">
        <v>0.05</v>
      </c>
      <c r="S26" s="141">
        <v>9.6000000000000002E-2</v>
      </c>
      <c r="T26" s="141">
        <v>0.14399999999999999</v>
      </c>
      <c r="U26" s="141">
        <v>0.192</v>
      </c>
      <c r="V26" s="142">
        <v>0.24</v>
      </c>
      <c r="W26" s="142">
        <v>0.28799999999999998</v>
      </c>
      <c r="X26" s="142">
        <v>0.33600000000000002</v>
      </c>
      <c r="Y26" s="142">
        <v>0.38400000000000001</v>
      </c>
      <c r="Z26" s="142">
        <v>0.432</v>
      </c>
      <c r="AA26" s="142">
        <v>0.49</v>
      </c>
      <c r="AB26" s="142">
        <v>0.53900000000000003</v>
      </c>
      <c r="AC26" s="142">
        <v>0.56799999999999995</v>
      </c>
      <c r="AD26" s="143"/>
      <c r="AE26" s="255"/>
      <c r="AF26" s="144"/>
      <c r="AG26" s="62"/>
      <c r="AH26" s="145"/>
      <c r="AI26" s="37"/>
      <c r="AJ26" s="37"/>
      <c r="AK26" s="37"/>
    </row>
    <row r="27" spans="1:37" ht="30" customHeight="1" x14ac:dyDescent="0.25">
      <c r="A27" s="227">
        <v>1988</v>
      </c>
      <c r="B27" s="227">
        <v>1987</v>
      </c>
      <c r="C27" s="219">
        <v>0</v>
      </c>
      <c r="D27" s="58">
        <v>16560</v>
      </c>
      <c r="E27" s="58">
        <v>17320</v>
      </c>
      <c r="F27" s="58">
        <v>20530</v>
      </c>
      <c r="G27" s="58">
        <v>32460</v>
      </c>
      <c r="H27" s="58">
        <v>41730</v>
      </c>
      <c r="I27" s="58">
        <v>52410</v>
      </c>
      <c r="J27" s="58">
        <v>63420</v>
      </c>
      <c r="K27" s="58">
        <v>73170</v>
      </c>
      <c r="L27" s="58">
        <v>121910</v>
      </c>
      <c r="M27" s="58">
        <v>167670</v>
      </c>
      <c r="N27" s="58">
        <v>198330</v>
      </c>
      <c r="O27" s="58">
        <v>225610</v>
      </c>
      <c r="P27" s="140"/>
      <c r="Q27" s="59">
        <v>0</v>
      </c>
      <c r="R27" s="141">
        <v>0.05</v>
      </c>
      <c r="S27" s="141">
        <v>9.6000000000000002E-2</v>
      </c>
      <c r="T27" s="141">
        <v>0.14399999999999999</v>
      </c>
      <c r="U27" s="141">
        <v>0.192</v>
      </c>
      <c r="V27" s="142">
        <v>0.24</v>
      </c>
      <c r="W27" s="142">
        <v>0.28799999999999998</v>
      </c>
      <c r="X27" s="142">
        <v>0.33600000000000002</v>
      </c>
      <c r="Y27" s="142">
        <v>0.38400000000000001</v>
      </c>
      <c r="Z27" s="142">
        <v>0.432</v>
      </c>
      <c r="AA27" s="142">
        <v>0.49</v>
      </c>
      <c r="AB27" s="142">
        <v>0.53900000000000003</v>
      </c>
      <c r="AC27" s="142">
        <v>0.56799999999999995</v>
      </c>
      <c r="AD27" s="143"/>
      <c r="AE27" s="255"/>
      <c r="AF27" s="144"/>
      <c r="AG27" s="62"/>
      <c r="AH27" s="145"/>
      <c r="AI27" s="37"/>
      <c r="AJ27" s="37"/>
      <c r="AK27" s="37"/>
    </row>
    <row r="28" spans="1:37" ht="30" customHeight="1" x14ac:dyDescent="0.25">
      <c r="A28" s="227">
        <v>1987</v>
      </c>
      <c r="B28" s="227">
        <v>1986</v>
      </c>
      <c r="C28" s="219">
        <v>0</v>
      </c>
      <c r="D28" s="58">
        <v>16030</v>
      </c>
      <c r="E28" s="58">
        <v>16760</v>
      </c>
      <c r="F28" s="58">
        <v>19870</v>
      </c>
      <c r="G28" s="58">
        <v>31420</v>
      </c>
      <c r="H28" s="58">
        <v>40390</v>
      </c>
      <c r="I28" s="58">
        <v>50740</v>
      </c>
      <c r="J28" s="58">
        <v>61390</v>
      </c>
      <c r="K28" s="58">
        <v>70830</v>
      </c>
      <c r="L28" s="58">
        <v>118020</v>
      </c>
      <c r="M28" s="58">
        <v>162310</v>
      </c>
      <c r="N28" s="58">
        <v>191990</v>
      </c>
      <c r="O28" s="58">
        <v>218400</v>
      </c>
      <c r="P28" s="140"/>
      <c r="Q28" s="59">
        <v>0</v>
      </c>
      <c r="R28" s="141">
        <v>0.05</v>
      </c>
      <c r="S28" s="141">
        <v>0.1</v>
      </c>
      <c r="T28" s="141">
        <v>0.15</v>
      </c>
      <c r="U28" s="141">
        <v>0.2</v>
      </c>
      <c r="V28" s="141">
        <v>0.25</v>
      </c>
      <c r="W28" s="141">
        <v>0.3</v>
      </c>
      <c r="X28" s="141">
        <v>0.35</v>
      </c>
      <c r="Y28" s="141">
        <v>0.4</v>
      </c>
      <c r="Z28" s="141">
        <v>0.45</v>
      </c>
      <c r="AA28" s="141">
        <v>0.5</v>
      </c>
      <c r="AB28" s="141">
        <v>0.55000000000000004</v>
      </c>
      <c r="AC28" s="141">
        <v>0.57999999999999996</v>
      </c>
      <c r="AD28" s="140"/>
      <c r="AE28" s="255"/>
      <c r="AF28" s="144"/>
      <c r="AG28" s="62"/>
      <c r="AH28" s="145"/>
      <c r="AI28" s="37"/>
      <c r="AJ28" s="37"/>
      <c r="AK28" s="37"/>
    </row>
    <row r="29" spans="1:37" ht="30" customHeight="1" x14ac:dyDescent="0.25">
      <c r="A29" s="227">
        <v>1986</v>
      </c>
      <c r="B29" s="227">
        <v>1985</v>
      </c>
      <c r="C29" s="219">
        <v>0</v>
      </c>
      <c r="D29" s="58">
        <v>15650</v>
      </c>
      <c r="E29" s="58">
        <v>16360</v>
      </c>
      <c r="F29" s="58">
        <v>19400</v>
      </c>
      <c r="G29" s="58">
        <v>30680</v>
      </c>
      <c r="H29" s="58">
        <v>39440</v>
      </c>
      <c r="I29" s="58">
        <v>49550</v>
      </c>
      <c r="J29" s="58">
        <v>59950</v>
      </c>
      <c r="K29" s="58">
        <v>69170</v>
      </c>
      <c r="L29" s="58">
        <v>115250</v>
      </c>
      <c r="M29" s="58">
        <v>158510</v>
      </c>
      <c r="N29" s="58">
        <v>187490</v>
      </c>
      <c r="O29" s="58">
        <v>213280</v>
      </c>
      <c r="P29" s="58">
        <v>241740</v>
      </c>
      <c r="Q29" s="59">
        <v>0</v>
      </c>
      <c r="R29" s="141">
        <v>0.05</v>
      </c>
      <c r="S29" s="141">
        <v>0.1</v>
      </c>
      <c r="T29" s="141">
        <v>0.15</v>
      </c>
      <c r="U29" s="141">
        <v>0.2</v>
      </c>
      <c r="V29" s="141">
        <v>0.25</v>
      </c>
      <c r="W29" s="141">
        <v>0.3</v>
      </c>
      <c r="X29" s="141">
        <v>0.35</v>
      </c>
      <c r="Y29" s="141">
        <v>0.4</v>
      </c>
      <c r="Z29" s="141">
        <v>0.45</v>
      </c>
      <c r="AA29" s="141">
        <v>0.5</v>
      </c>
      <c r="AB29" s="141">
        <v>0.55000000000000004</v>
      </c>
      <c r="AC29" s="141">
        <v>0.6</v>
      </c>
      <c r="AD29" s="141">
        <v>0.65</v>
      </c>
      <c r="AE29" s="255"/>
      <c r="AF29" s="144"/>
      <c r="AG29" s="62"/>
      <c r="AH29" s="145"/>
      <c r="AI29" s="37"/>
      <c r="AJ29" s="37"/>
      <c r="AK29" s="37"/>
    </row>
    <row r="30" spans="1:37" ht="30" customHeight="1" x14ac:dyDescent="0.25">
      <c r="A30" s="227">
        <v>1985</v>
      </c>
      <c r="B30" s="227">
        <v>1984</v>
      </c>
      <c r="C30" s="219">
        <v>0</v>
      </c>
      <c r="D30" s="58">
        <v>14820</v>
      </c>
      <c r="E30" s="58">
        <v>15490</v>
      </c>
      <c r="F30" s="58">
        <v>18370</v>
      </c>
      <c r="G30" s="58">
        <v>29050</v>
      </c>
      <c r="H30" s="58">
        <v>37340</v>
      </c>
      <c r="I30" s="58">
        <v>46920</v>
      </c>
      <c r="J30" s="58">
        <v>56770</v>
      </c>
      <c r="K30" s="58">
        <v>65500</v>
      </c>
      <c r="L30" s="58">
        <v>109140</v>
      </c>
      <c r="M30" s="58">
        <v>150100</v>
      </c>
      <c r="N30" s="58">
        <v>177550</v>
      </c>
      <c r="O30" s="58">
        <v>201970</v>
      </c>
      <c r="P30" s="58">
        <v>228920</v>
      </c>
      <c r="Q30" s="59">
        <v>0</v>
      </c>
      <c r="R30" s="141">
        <v>0.05</v>
      </c>
      <c r="S30" s="141">
        <v>0.1</v>
      </c>
      <c r="T30" s="141">
        <v>0.15</v>
      </c>
      <c r="U30" s="141">
        <v>0.2</v>
      </c>
      <c r="V30" s="141">
        <v>0.25</v>
      </c>
      <c r="W30" s="141">
        <v>0.3</v>
      </c>
      <c r="X30" s="141">
        <v>0.35</v>
      </c>
      <c r="Y30" s="141">
        <v>0.4</v>
      </c>
      <c r="Z30" s="141">
        <v>0.45</v>
      </c>
      <c r="AA30" s="141">
        <v>0.5</v>
      </c>
      <c r="AB30" s="141">
        <v>0.55000000000000004</v>
      </c>
      <c r="AC30" s="141">
        <v>0.6</v>
      </c>
      <c r="AD30" s="141">
        <v>0.65</v>
      </c>
      <c r="AE30" s="255"/>
      <c r="AF30" s="144"/>
      <c r="AG30" s="62"/>
      <c r="AH30" s="145"/>
      <c r="AI30" s="37"/>
      <c r="AJ30" s="37"/>
      <c r="AK30" s="37"/>
    </row>
    <row r="31" spans="1:37" ht="30" customHeight="1" x14ac:dyDescent="0.25">
      <c r="A31" s="227">
        <v>1984</v>
      </c>
      <c r="B31" s="227">
        <v>1983</v>
      </c>
      <c r="C31" s="219">
        <v>0</v>
      </c>
      <c r="D31" s="58">
        <v>13770</v>
      </c>
      <c r="E31" s="58">
        <v>14390</v>
      </c>
      <c r="F31" s="58">
        <v>17070</v>
      </c>
      <c r="G31" s="58">
        <v>26990</v>
      </c>
      <c r="H31" s="58">
        <v>34700</v>
      </c>
      <c r="I31" s="58">
        <v>43610</v>
      </c>
      <c r="J31" s="58">
        <v>52760</v>
      </c>
      <c r="K31" s="58">
        <v>60870</v>
      </c>
      <c r="L31" s="58">
        <v>101430</v>
      </c>
      <c r="M31" s="58">
        <v>139500</v>
      </c>
      <c r="N31" s="58">
        <v>165010</v>
      </c>
      <c r="O31" s="58">
        <v>187700</v>
      </c>
      <c r="P31" s="58">
        <v>212750</v>
      </c>
      <c r="Q31" s="59">
        <v>0</v>
      </c>
      <c r="R31" s="141">
        <v>0.05</v>
      </c>
      <c r="S31" s="141">
        <v>0.1</v>
      </c>
      <c r="T31" s="141">
        <v>0.15</v>
      </c>
      <c r="U31" s="141">
        <v>0.2</v>
      </c>
      <c r="V31" s="141">
        <v>0.25</v>
      </c>
      <c r="W31" s="141">
        <v>0.3</v>
      </c>
      <c r="X31" s="141">
        <v>0.35</v>
      </c>
      <c r="Y31" s="141">
        <v>0.4</v>
      </c>
      <c r="Z31" s="141">
        <v>0.45</v>
      </c>
      <c r="AA31" s="141">
        <v>0.5</v>
      </c>
      <c r="AB31" s="141">
        <v>0.55000000000000004</v>
      </c>
      <c r="AC31" s="141">
        <v>0.6</v>
      </c>
      <c r="AD31" s="141">
        <v>0.65</v>
      </c>
      <c r="AE31" s="255"/>
      <c r="AF31" s="144"/>
      <c r="AG31" s="62"/>
      <c r="AH31" s="145"/>
      <c r="AI31" s="37"/>
      <c r="AJ31" s="37"/>
      <c r="AK31" s="37"/>
    </row>
    <row r="32" spans="1:37" ht="30" customHeight="1" x14ac:dyDescent="0.25">
      <c r="A32" s="227">
        <v>1983</v>
      </c>
      <c r="B32" s="227">
        <v>1982</v>
      </c>
      <c r="C32" s="219">
        <v>0</v>
      </c>
      <c r="D32" s="58">
        <v>12620</v>
      </c>
      <c r="E32" s="58">
        <v>13190</v>
      </c>
      <c r="F32" s="58">
        <v>15640</v>
      </c>
      <c r="G32" s="58">
        <v>24740</v>
      </c>
      <c r="H32" s="58">
        <v>31810</v>
      </c>
      <c r="I32" s="58">
        <v>39970</v>
      </c>
      <c r="J32" s="58">
        <v>48370</v>
      </c>
      <c r="K32" s="58">
        <v>55790</v>
      </c>
      <c r="L32" s="58">
        <v>92970</v>
      </c>
      <c r="M32" s="58">
        <v>127860</v>
      </c>
      <c r="N32" s="58">
        <v>151250</v>
      </c>
      <c r="O32" s="58">
        <v>172040</v>
      </c>
      <c r="P32" s="58">
        <v>195000</v>
      </c>
      <c r="Q32" s="59">
        <v>0</v>
      </c>
      <c r="R32" s="141">
        <v>0.05</v>
      </c>
      <c r="S32" s="141">
        <v>0.1</v>
      </c>
      <c r="T32" s="141">
        <v>0.15</v>
      </c>
      <c r="U32" s="141">
        <v>0.2</v>
      </c>
      <c r="V32" s="141">
        <v>0.25</v>
      </c>
      <c r="W32" s="141">
        <v>0.3</v>
      </c>
      <c r="X32" s="141">
        <v>0.35</v>
      </c>
      <c r="Y32" s="141">
        <v>0.4</v>
      </c>
      <c r="Z32" s="141">
        <v>0.45</v>
      </c>
      <c r="AA32" s="141">
        <v>0.5</v>
      </c>
      <c r="AB32" s="141">
        <v>0.55000000000000004</v>
      </c>
      <c r="AC32" s="141">
        <v>0.6</v>
      </c>
      <c r="AD32" s="141">
        <v>0.65</v>
      </c>
      <c r="AE32" s="255"/>
      <c r="AF32" s="144"/>
      <c r="AG32" s="62"/>
      <c r="AH32" s="145"/>
      <c r="AI32" s="37"/>
      <c r="AJ32" s="37"/>
      <c r="AK32" s="37"/>
    </row>
    <row r="33" spans="1:37" ht="30" customHeight="1" x14ac:dyDescent="0.25">
      <c r="A33" s="227">
        <v>1982</v>
      </c>
      <c r="B33" s="227">
        <v>1981</v>
      </c>
      <c r="C33" s="219">
        <v>0</v>
      </c>
      <c r="D33" s="58">
        <v>11230</v>
      </c>
      <c r="E33" s="58">
        <v>11740</v>
      </c>
      <c r="F33" s="58">
        <v>13930</v>
      </c>
      <c r="G33" s="58">
        <v>22030</v>
      </c>
      <c r="H33" s="58">
        <v>28320</v>
      </c>
      <c r="I33" s="58">
        <v>35590</v>
      </c>
      <c r="J33" s="58">
        <v>43060</v>
      </c>
      <c r="K33" s="58">
        <v>49680</v>
      </c>
      <c r="L33" s="58">
        <v>82790</v>
      </c>
      <c r="M33" s="58">
        <v>113860</v>
      </c>
      <c r="N33" s="58">
        <v>134680</v>
      </c>
      <c r="O33" s="58">
        <v>153200</v>
      </c>
      <c r="P33" s="140"/>
      <c r="Q33" s="59">
        <v>0</v>
      </c>
      <c r="R33" s="141">
        <v>0.05</v>
      </c>
      <c r="S33" s="141">
        <v>0.1</v>
      </c>
      <c r="T33" s="141">
        <v>0.15</v>
      </c>
      <c r="U33" s="141">
        <v>0.2</v>
      </c>
      <c r="V33" s="141">
        <v>0.25</v>
      </c>
      <c r="W33" s="141">
        <v>0.3</v>
      </c>
      <c r="X33" s="141">
        <v>0.35</v>
      </c>
      <c r="Y33" s="141">
        <v>0.4</v>
      </c>
      <c r="Z33" s="141">
        <v>0.45</v>
      </c>
      <c r="AA33" s="141">
        <v>0.5</v>
      </c>
      <c r="AB33" s="141">
        <v>0.55000000000000004</v>
      </c>
      <c r="AC33" s="141">
        <v>0.6</v>
      </c>
      <c r="AD33" s="140"/>
      <c r="AE33" s="255"/>
      <c r="AF33" s="144"/>
      <c r="AG33" s="62"/>
      <c r="AH33" s="145"/>
      <c r="AI33" s="37"/>
      <c r="AJ33" s="37"/>
      <c r="AK33" s="37"/>
    </row>
    <row r="34" spans="1:37" ht="30" customHeight="1" x14ac:dyDescent="0.25">
      <c r="A34" s="227">
        <v>1981</v>
      </c>
      <c r="B34" s="227">
        <v>1980</v>
      </c>
      <c r="C34" s="219">
        <v>0</v>
      </c>
      <c r="D34" s="58">
        <v>9890</v>
      </c>
      <c r="E34" s="58">
        <v>10340</v>
      </c>
      <c r="F34" s="58">
        <v>12270</v>
      </c>
      <c r="G34" s="58">
        <v>19410</v>
      </c>
      <c r="H34" s="58">
        <v>24950</v>
      </c>
      <c r="I34" s="58">
        <v>31360</v>
      </c>
      <c r="J34" s="58">
        <v>37970</v>
      </c>
      <c r="K34" s="58">
        <v>43770</v>
      </c>
      <c r="L34" s="58">
        <v>72940</v>
      </c>
      <c r="M34" s="58">
        <v>100320</v>
      </c>
      <c r="N34" s="58">
        <v>118660</v>
      </c>
      <c r="O34" s="58">
        <v>135000</v>
      </c>
      <c r="P34" s="140"/>
      <c r="Q34" s="59">
        <v>0</v>
      </c>
      <c r="R34" s="141">
        <v>0.05</v>
      </c>
      <c r="S34" s="141">
        <v>0.1</v>
      </c>
      <c r="T34" s="141">
        <v>0.15</v>
      </c>
      <c r="U34" s="141">
        <v>0.2</v>
      </c>
      <c r="V34" s="141">
        <v>0.25</v>
      </c>
      <c r="W34" s="141">
        <v>0.3</v>
      </c>
      <c r="X34" s="141">
        <v>0.35</v>
      </c>
      <c r="Y34" s="141">
        <v>0.4</v>
      </c>
      <c r="Z34" s="141">
        <v>0.45</v>
      </c>
      <c r="AA34" s="141">
        <v>0.5</v>
      </c>
      <c r="AB34" s="141">
        <v>0.55000000000000004</v>
      </c>
      <c r="AC34" s="141">
        <v>0.6</v>
      </c>
      <c r="AD34" s="140"/>
      <c r="AE34" s="255"/>
      <c r="AF34" s="144"/>
      <c r="AG34" s="62"/>
      <c r="AH34" s="145"/>
      <c r="AI34" s="37"/>
      <c r="AJ34" s="37"/>
      <c r="AK34" s="37"/>
    </row>
    <row r="35" spans="1:37" ht="30" customHeight="1" x14ac:dyDescent="0.25">
      <c r="A35" s="227">
        <v>1980</v>
      </c>
      <c r="B35" s="227">
        <v>1979</v>
      </c>
      <c r="C35" s="219">
        <v>0</v>
      </c>
      <c r="D35" s="58">
        <v>8725</v>
      </c>
      <c r="E35" s="58">
        <v>9125</v>
      </c>
      <c r="F35" s="58">
        <v>10825</v>
      </c>
      <c r="G35" s="58">
        <v>17125</v>
      </c>
      <c r="H35" s="58">
        <v>22275</v>
      </c>
      <c r="I35" s="58">
        <v>28000</v>
      </c>
      <c r="J35" s="58">
        <v>33875</v>
      </c>
      <c r="K35" s="58">
        <v>39075</v>
      </c>
      <c r="L35" s="58">
        <v>65125</v>
      </c>
      <c r="M35" s="58">
        <v>89575</v>
      </c>
      <c r="N35" s="58">
        <v>105950</v>
      </c>
      <c r="O35" s="58">
        <v>125050</v>
      </c>
      <c r="P35" s="140"/>
      <c r="Q35" s="59">
        <v>0</v>
      </c>
      <c r="R35" s="141">
        <v>0.05</v>
      </c>
      <c r="S35" s="141">
        <v>0.1</v>
      </c>
      <c r="T35" s="141">
        <v>0.15</v>
      </c>
      <c r="U35" s="141">
        <v>0.2</v>
      </c>
      <c r="V35" s="141">
        <v>0.25</v>
      </c>
      <c r="W35" s="141">
        <v>0.3</v>
      </c>
      <c r="X35" s="141">
        <v>0.35</v>
      </c>
      <c r="Y35" s="141">
        <v>0.4</v>
      </c>
      <c r="Z35" s="141">
        <v>0.45</v>
      </c>
      <c r="AA35" s="141">
        <v>0.5</v>
      </c>
      <c r="AB35" s="141">
        <v>0.55000000000000004</v>
      </c>
      <c r="AC35" s="141">
        <v>0.6</v>
      </c>
      <c r="AD35" s="140"/>
      <c r="AE35" s="255"/>
      <c r="AF35" s="144"/>
      <c r="AG35" s="62"/>
      <c r="AH35" s="145"/>
      <c r="AI35" s="37"/>
      <c r="AJ35" s="37"/>
      <c r="AK35" s="37"/>
    </row>
    <row r="36" spans="1:37" ht="30" customHeight="1" x14ac:dyDescent="0.25">
      <c r="A36" s="227">
        <v>1979</v>
      </c>
      <c r="B36" s="227">
        <v>1978</v>
      </c>
      <c r="C36" s="219">
        <v>0</v>
      </c>
      <c r="D36" s="58">
        <v>7925</v>
      </c>
      <c r="E36" s="58">
        <v>8300</v>
      </c>
      <c r="F36" s="58">
        <v>9925</v>
      </c>
      <c r="G36" s="58">
        <v>15700</v>
      </c>
      <c r="H36" s="58">
        <v>20625</v>
      </c>
      <c r="I36" s="58">
        <v>25925</v>
      </c>
      <c r="J36" s="58">
        <v>31350</v>
      </c>
      <c r="K36" s="58">
        <v>36175</v>
      </c>
      <c r="L36" s="58">
        <v>62600</v>
      </c>
      <c r="M36" s="58">
        <v>86125</v>
      </c>
      <c r="N36" s="58">
        <v>105950</v>
      </c>
      <c r="O36" s="58">
        <v>125050</v>
      </c>
      <c r="P36" s="140"/>
      <c r="Q36" s="59">
        <v>0</v>
      </c>
      <c r="R36" s="141">
        <v>0.05</v>
      </c>
      <c r="S36" s="141">
        <v>0.1</v>
      </c>
      <c r="T36" s="141">
        <v>0.15</v>
      </c>
      <c r="U36" s="141">
        <v>0.2</v>
      </c>
      <c r="V36" s="141">
        <v>0.25</v>
      </c>
      <c r="W36" s="141">
        <v>0.3</v>
      </c>
      <c r="X36" s="141">
        <v>0.35</v>
      </c>
      <c r="Y36" s="141">
        <v>0.4</v>
      </c>
      <c r="Z36" s="141">
        <v>0.45</v>
      </c>
      <c r="AA36" s="141">
        <v>0.5</v>
      </c>
      <c r="AB36" s="141">
        <v>0.55000000000000004</v>
      </c>
      <c r="AC36" s="141">
        <v>0.6</v>
      </c>
      <c r="AD36" s="140"/>
      <c r="AE36" s="255"/>
      <c r="AF36" s="144"/>
      <c r="AG36" s="62"/>
      <c r="AH36" s="145"/>
      <c r="AI36" s="37"/>
      <c r="AJ36" s="37"/>
      <c r="AK36" s="37"/>
    </row>
    <row r="37" spans="1:37" ht="30" customHeight="1" x14ac:dyDescent="0.25">
      <c r="A37" s="227">
        <v>1978</v>
      </c>
      <c r="B37" s="227">
        <v>1977</v>
      </c>
      <c r="C37" s="219">
        <v>0</v>
      </c>
      <c r="D37" s="58">
        <v>7250</v>
      </c>
      <c r="E37" s="58">
        <v>7600</v>
      </c>
      <c r="F37" s="58">
        <v>9100</v>
      </c>
      <c r="G37" s="58">
        <v>14400</v>
      </c>
      <c r="H37" s="58">
        <v>18900</v>
      </c>
      <c r="I37" s="58">
        <v>23800</v>
      </c>
      <c r="J37" s="58">
        <v>28775</v>
      </c>
      <c r="K37" s="58">
        <v>33200</v>
      </c>
      <c r="L37" s="58">
        <v>57425</v>
      </c>
      <c r="M37" s="58">
        <v>79025</v>
      </c>
      <c r="N37" s="58">
        <v>100900</v>
      </c>
      <c r="O37" s="58">
        <v>119100</v>
      </c>
      <c r="P37" s="140"/>
      <c r="Q37" s="59">
        <v>0</v>
      </c>
      <c r="R37" s="141">
        <v>0.05</v>
      </c>
      <c r="S37" s="141">
        <v>0.1</v>
      </c>
      <c r="T37" s="141">
        <v>0.15</v>
      </c>
      <c r="U37" s="141">
        <v>0.2</v>
      </c>
      <c r="V37" s="141">
        <v>0.25</v>
      </c>
      <c r="W37" s="141">
        <v>0.3</v>
      </c>
      <c r="X37" s="141">
        <v>0.35</v>
      </c>
      <c r="Y37" s="141">
        <v>0.4</v>
      </c>
      <c r="Z37" s="141">
        <v>0.45</v>
      </c>
      <c r="AA37" s="141">
        <v>0.5</v>
      </c>
      <c r="AB37" s="141">
        <v>0.55000000000000004</v>
      </c>
      <c r="AC37" s="141">
        <v>0.6</v>
      </c>
      <c r="AD37" s="140"/>
      <c r="AE37" s="255"/>
      <c r="AF37" s="144"/>
      <c r="AG37" s="62"/>
      <c r="AH37" s="145"/>
      <c r="AI37" s="37"/>
      <c r="AJ37" s="37"/>
      <c r="AK37" s="37"/>
    </row>
    <row r="38" spans="1:37" ht="30" customHeight="1" x14ac:dyDescent="0.25">
      <c r="A38" s="227">
        <v>1977</v>
      </c>
      <c r="B38" s="227">
        <v>1976</v>
      </c>
      <c r="C38" s="219">
        <v>0</v>
      </c>
      <c r="D38" s="58">
        <v>6725</v>
      </c>
      <c r="E38" s="58">
        <v>7050</v>
      </c>
      <c r="F38" s="58">
        <v>8450</v>
      </c>
      <c r="G38" s="58">
        <v>13400</v>
      </c>
      <c r="H38" s="58">
        <v>17575</v>
      </c>
      <c r="I38" s="58">
        <v>22150</v>
      </c>
      <c r="J38" s="58">
        <v>26775</v>
      </c>
      <c r="K38" s="58">
        <v>30875</v>
      </c>
      <c r="L38" s="58">
        <v>53425</v>
      </c>
      <c r="M38" s="58">
        <v>73525</v>
      </c>
      <c r="N38" s="58">
        <v>95175</v>
      </c>
      <c r="O38" s="58">
        <v>113450</v>
      </c>
      <c r="P38" s="256"/>
      <c r="Q38" s="59">
        <v>0</v>
      </c>
      <c r="R38" s="141">
        <v>0.05</v>
      </c>
      <c r="S38" s="141">
        <v>0.1</v>
      </c>
      <c r="T38" s="141">
        <v>0.15</v>
      </c>
      <c r="U38" s="141">
        <v>0.2</v>
      </c>
      <c r="V38" s="141">
        <v>0.25</v>
      </c>
      <c r="W38" s="141">
        <v>0.3</v>
      </c>
      <c r="X38" s="141">
        <v>0.35</v>
      </c>
      <c r="Y38" s="141">
        <v>0.4</v>
      </c>
      <c r="Z38" s="141">
        <v>0.45</v>
      </c>
      <c r="AA38" s="141">
        <v>0.5</v>
      </c>
      <c r="AB38" s="141">
        <v>0.55000000000000004</v>
      </c>
      <c r="AC38" s="141">
        <v>0.6</v>
      </c>
      <c r="AD38" s="256"/>
      <c r="AE38" s="144"/>
      <c r="AF38" s="144"/>
      <c r="AG38" s="62"/>
      <c r="AH38" s="145"/>
      <c r="AI38" s="37"/>
      <c r="AJ38" s="37"/>
      <c r="AK38" s="37"/>
    </row>
    <row r="39" spans="1:37" ht="30" customHeight="1" x14ac:dyDescent="0.25">
      <c r="A39" s="227">
        <v>1976</v>
      </c>
      <c r="B39" s="227">
        <v>1975</v>
      </c>
      <c r="C39" s="219">
        <v>0</v>
      </c>
      <c r="D39" s="58">
        <v>6125</v>
      </c>
      <c r="E39" s="58">
        <v>6425</v>
      </c>
      <c r="F39" s="58">
        <v>7700</v>
      </c>
      <c r="G39" s="58">
        <v>12225</v>
      </c>
      <c r="H39" s="58">
        <v>16575</v>
      </c>
      <c r="I39" s="58">
        <v>20900</v>
      </c>
      <c r="J39" s="58">
        <v>25250</v>
      </c>
      <c r="K39" s="58">
        <v>29125</v>
      </c>
      <c r="L39" s="58">
        <v>50400</v>
      </c>
      <c r="M39" s="58">
        <v>71375</v>
      </c>
      <c r="N39" s="58">
        <v>92400</v>
      </c>
      <c r="O39" s="58">
        <v>113450</v>
      </c>
      <c r="P39" s="256"/>
      <c r="Q39" s="59">
        <v>0</v>
      </c>
      <c r="R39" s="141">
        <v>0.05</v>
      </c>
      <c r="S39" s="141">
        <v>0.1</v>
      </c>
      <c r="T39" s="141">
        <v>0.15</v>
      </c>
      <c r="U39" s="141">
        <v>0.2</v>
      </c>
      <c r="V39" s="141">
        <v>0.25</v>
      </c>
      <c r="W39" s="141">
        <v>0.3</v>
      </c>
      <c r="X39" s="141">
        <v>0.35</v>
      </c>
      <c r="Y39" s="141">
        <v>0.4</v>
      </c>
      <c r="Z39" s="141">
        <v>0.45</v>
      </c>
      <c r="AA39" s="141">
        <v>0.5</v>
      </c>
      <c r="AB39" s="141">
        <v>0.55000000000000004</v>
      </c>
      <c r="AC39" s="141">
        <v>0.6</v>
      </c>
      <c r="AD39" s="256"/>
      <c r="AE39" s="144"/>
      <c r="AF39" s="144"/>
      <c r="AG39" s="62"/>
      <c r="AH39" s="145"/>
      <c r="AI39" s="37"/>
      <c r="AJ39" s="37"/>
      <c r="AK39" s="37"/>
    </row>
    <row r="40" spans="1:37" ht="30" customHeight="1" x14ac:dyDescent="0.25">
      <c r="A40" s="227">
        <v>1975</v>
      </c>
      <c r="B40" s="227">
        <v>1974</v>
      </c>
      <c r="C40" s="219">
        <v>0</v>
      </c>
      <c r="D40" s="58">
        <v>5500</v>
      </c>
      <c r="E40" s="58">
        <v>5825</v>
      </c>
      <c r="F40" s="58">
        <v>7000</v>
      </c>
      <c r="G40" s="58">
        <v>11100</v>
      </c>
      <c r="H40" s="58">
        <v>15050</v>
      </c>
      <c r="I40" s="58">
        <v>19000</v>
      </c>
      <c r="J40" s="58">
        <v>24450</v>
      </c>
      <c r="K40" s="58">
        <v>26475</v>
      </c>
      <c r="L40" s="58">
        <v>45825</v>
      </c>
      <c r="M40" s="58">
        <v>64900</v>
      </c>
      <c r="N40" s="58">
        <v>84000</v>
      </c>
      <c r="O40" s="58">
        <v>103150</v>
      </c>
      <c r="P40" s="256"/>
      <c r="Q40" s="59">
        <v>0</v>
      </c>
      <c r="R40" s="141">
        <v>0.05</v>
      </c>
      <c r="S40" s="141">
        <v>0.1</v>
      </c>
      <c r="T40" s="141">
        <v>0.15</v>
      </c>
      <c r="U40" s="141">
        <v>0.2</v>
      </c>
      <c r="V40" s="141">
        <v>0.25</v>
      </c>
      <c r="W40" s="141">
        <v>0.3</v>
      </c>
      <c r="X40" s="141">
        <v>0.35</v>
      </c>
      <c r="Y40" s="141">
        <v>0.4</v>
      </c>
      <c r="Z40" s="141">
        <v>0.45</v>
      </c>
      <c r="AA40" s="141">
        <v>0.5</v>
      </c>
      <c r="AB40" s="141">
        <v>0.55000000000000004</v>
      </c>
      <c r="AC40" s="141">
        <v>0.6</v>
      </c>
      <c r="AD40" s="256"/>
      <c r="AE40" s="144"/>
      <c r="AF40" s="144"/>
      <c r="AG40" s="62"/>
      <c r="AH40" s="145"/>
      <c r="AI40" s="37"/>
      <c r="AJ40" s="37"/>
      <c r="AK40" s="37"/>
    </row>
    <row r="41" spans="1:37" ht="30" customHeight="1" x14ac:dyDescent="0.25">
      <c r="A41" s="227">
        <v>1974</v>
      </c>
      <c r="B41" s="227">
        <v>1973</v>
      </c>
      <c r="C41" s="219">
        <v>0</v>
      </c>
      <c r="D41" s="58">
        <v>4950</v>
      </c>
      <c r="E41" s="58">
        <v>5200</v>
      </c>
      <c r="F41" s="58">
        <v>6250</v>
      </c>
      <c r="G41" s="58">
        <v>9900</v>
      </c>
      <c r="H41" s="58">
        <v>14900</v>
      </c>
      <c r="I41" s="58">
        <v>22000</v>
      </c>
      <c r="J41" s="58">
        <v>46325</v>
      </c>
      <c r="K41" s="58">
        <v>92125</v>
      </c>
      <c r="L41" s="140"/>
      <c r="M41" s="140"/>
      <c r="N41" s="256"/>
      <c r="O41" s="256"/>
      <c r="P41" s="256"/>
      <c r="Q41" s="59">
        <v>0</v>
      </c>
      <c r="R41" s="141">
        <v>0.05</v>
      </c>
      <c r="S41" s="141">
        <v>0.1</v>
      </c>
      <c r="T41" s="141">
        <v>0.15</v>
      </c>
      <c r="U41" s="141">
        <v>0.2</v>
      </c>
      <c r="V41" s="141">
        <v>0.3</v>
      </c>
      <c r="W41" s="141">
        <v>0.4</v>
      </c>
      <c r="X41" s="141">
        <v>0.5</v>
      </c>
      <c r="Y41" s="141">
        <v>0.6</v>
      </c>
      <c r="Z41" s="256"/>
      <c r="AA41" s="256"/>
      <c r="AB41" s="256"/>
      <c r="AC41" s="256"/>
      <c r="AD41" s="256"/>
      <c r="AE41" s="144"/>
      <c r="AF41" s="144"/>
      <c r="AG41" s="62"/>
      <c r="AH41" s="145"/>
      <c r="AI41" s="37"/>
      <c r="AJ41" s="37"/>
      <c r="AK41" s="37"/>
    </row>
    <row r="42" spans="1:37" ht="30" customHeight="1" x14ac:dyDescent="0.25">
      <c r="A42" s="227">
        <v>1973</v>
      </c>
      <c r="B42" s="227">
        <v>1972</v>
      </c>
      <c r="C42" s="219">
        <v>0</v>
      </c>
      <c r="D42" s="58">
        <v>3300</v>
      </c>
      <c r="E42" s="58">
        <v>5750</v>
      </c>
      <c r="F42" s="58">
        <v>9500</v>
      </c>
      <c r="G42" s="58">
        <v>14050</v>
      </c>
      <c r="H42" s="58">
        <v>22000</v>
      </c>
      <c r="I42" s="58">
        <v>43500</v>
      </c>
      <c r="J42" s="58">
        <v>86500</v>
      </c>
      <c r="K42" s="140"/>
      <c r="L42" s="140"/>
      <c r="M42" s="140"/>
      <c r="N42" s="256"/>
      <c r="O42" s="256"/>
      <c r="P42" s="256"/>
      <c r="Q42" s="59">
        <v>0</v>
      </c>
      <c r="R42" s="141">
        <v>0.1</v>
      </c>
      <c r="S42" s="141">
        <v>0.15</v>
      </c>
      <c r="T42" s="141">
        <v>0.25</v>
      </c>
      <c r="U42" s="141">
        <v>0.3</v>
      </c>
      <c r="V42" s="141">
        <v>0.4</v>
      </c>
      <c r="W42" s="141">
        <v>0.5</v>
      </c>
      <c r="X42" s="141">
        <v>0.6</v>
      </c>
      <c r="Y42" s="186"/>
      <c r="Z42" s="256"/>
      <c r="AA42" s="256"/>
      <c r="AB42" s="256"/>
      <c r="AC42" s="256"/>
      <c r="AD42" s="256"/>
      <c r="AE42" s="144"/>
      <c r="AF42" s="144"/>
      <c r="AG42" s="62"/>
      <c r="AH42" s="145"/>
      <c r="AI42" s="37"/>
      <c r="AJ42" s="37"/>
      <c r="AK42" s="37"/>
    </row>
    <row r="43" spans="1:37" ht="30" customHeight="1" x14ac:dyDescent="0.25">
      <c r="A43" s="227">
        <v>1972</v>
      </c>
      <c r="B43" s="227">
        <v>1971</v>
      </c>
      <c r="C43" s="219">
        <v>0</v>
      </c>
      <c r="D43" s="58">
        <v>3100</v>
      </c>
      <c r="E43" s="58">
        <v>5400</v>
      </c>
      <c r="F43" s="58">
        <v>8950</v>
      </c>
      <c r="G43" s="58">
        <v>13250</v>
      </c>
      <c r="H43" s="58">
        <v>21050</v>
      </c>
      <c r="I43" s="58">
        <v>42100</v>
      </c>
      <c r="J43" s="58">
        <v>84200</v>
      </c>
      <c r="K43" s="140"/>
      <c r="L43" s="140"/>
      <c r="M43" s="140"/>
      <c r="N43" s="256"/>
      <c r="O43" s="256"/>
      <c r="P43" s="256"/>
      <c r="Q43" s="59">
        <v>0</v>
      </c>
      <c r="R43" s="141">
        <v>0.1</v>
      </c>
      <c r="S43" s="141">
        <v>0.15</v>
      </c>
      <c r="T43" s="141">
        <v>0.25</v>
      </c>
      <c r="U43" s="141">
        <v>0.3</v>
      </c>
      <c r="V43" s="141">
        <v>0.4</v>
      </c>
      <c r="W43" s="141">
        <v>0.5</v>
      </c>
      <c r="X43" s="141">
        <v>0.6</v>
      </c>
      <c r="Y43" s="186"/>
      <c r="Z43" s="256"/>
      <c r="AA43" s="256"/>
      <c r="AB43" s="256"/>
      <c r="AC43" s="256"/>
      <c r="AD43" s="256"/>
      <c r="AE43" s="144"/>
      <c r="AF43" s="144"/>
      <c r="AG43" s="62"/>
      <c r="AH43" s="145"/>
      <c r="AI43" s="37"/>
      <c r="AJ43" s="37"/>
      <c r="AK43" s="37"/>
    </row>
    <row r="44" spans="1:37" ht="30" customHeight="1" x14ac:dyDescent="0.25">
      <c r="A44" s="227">
        <v>1971</v>
      </c>
      <c r="B44" s="227">
        <v>1970</v>
      </c>
      <c r="C44" s="219">
        <v>0</v>
      </c>
      <c r="D44" s="58">
        <v>2900</v>
      </c>
      <c r="E44" s="58">
        <v>5100</v>
      </c>
      <c r="F44" s="58">
        <v>8500</v>
      </c>
      <c r="G44" s="58">
        <v>12600</v>
      </c>
      <c r="H44" s="58">
        <v>20050</v>
      </c>
      <c r="I44" s="58">
        <v>40100</v>
      </c>
      <c r="J44" s="58">
        <v>80200</v>
      </c>
      <c r="K44" s="140"/>
      <c r="L44" s="140"/>
      <c r="M44" s="140"/>
      <c r="N44" s="256"/>
      <c r="O44" s="256"/>
      <c r="P44" s="256"/>
      <c r="Q44" s="59">
        <v>0</v>
      </c>
      <c r="R44" s="141">
        <v>0.1</v>
      </c>
      <c r="S44" s="141">
        <v>0.15</v>
      </c>
      <c r="T44" s="141">
        <v>0.25</v>
      </c>
      <c r="U44" s="141">
        <v>0.3</v>
      </c>
      <c r="V44" s="141">
        <v>0.4</v>
      </c>
      <c r="W44" s="141">
        <v>0.5</v>
      </c>
      <c r="X44" s="141">
        <v>0.6</v>
      </c>
      <c r="Y44" s="186"/>
      <c r="Z44" s="256"/>
      <c r="AA44" s="256"/>
      <c r="AB44" s="256"/>
      <c r="AC44" s="256"/>
      <c r="AD44" s="256"/>
      <c r="AE44" s="144"/>
      <c r="AF44" s="144"/>
      <c r="AG44" s="62"/>
      <c r="AH44" s="145"/>
    </row>
    <row r="45" spans="1:37" ht="30" customHeight="1" x14ac:dyDescent="0.25">
      <c r="A45" s="227">
        <v>1970</v>
      </c>
      <c r="B45" s="227">
        <v>1969</v>
      </c>
      <c r="C45" s="219">
        <v>0</v>
      </c>
      <c r="D45" s="58">
        <v>2700</v>
      </c>
      <c r="E45" s="58">
        <v>4800</v>
      </c>
      <c r="F45" s="58">
        <v>8100</v>
      </c>
      <c r="G45" s="58">
        <v>12000</v>
      </c>
      <c r="H45" s="58">
        <v>19100</v>
      </c>
      <c r="I45" s="58">
        <v>38200</v>
      </c>
      <c r="J45" s="58">
        <v>76400</v>
      </c>
      <c r="K45" s="140"/>
      <c r="L45" s="140"/>
      <c r="M45" s="140"/>
      <c r="N45" s="256"/>
      <c r="O45" s="256"/>
      <c r="P45" s="256"/>
      <c r="Q45" s="59">
        <v>0</v>
      </c>
      <c r="R45" s="141">
        <v>0.1</v>
      </c>
      <c r="S45" s="141">
        <v>0.15</v>
      </c>
      <c r="T45" s="141">
        <v>0.25</v>
      </c>
      <c r="U45" s="141">
        <v>0.3</v>
      </c>
      <c r="V45" s="141">
        <v>0.4</v>
      </c>
      <c r="W45" s="141">
        <v>0.5</v>
      </c>
      <c r="X45" s="141">
        <v>0.6</v>
      </c>
      <c r="Y45" s="186"/>
      <c r="Z45" s="256"/>
      <c r="AA45" s="256"/>
      <c r="AB45" s="256"/>
      <c r="AC45" s="256"/>
      <c r="AD45" s="256"/>
      <c r="AE45" s="144"/>
      <c r="AF45" s="144"/>
      <c r="AG45" s="62"/>
      <c r="AH45" s="145"/>
    </row>
    <row r="46" spans="1:37" ht="30" customHeight="1" x14ac:dyDescent="0.25">
      <c r="A46" s="227">
        <v>1969</v>
      </c>
      <c r="B46" s="227">
        <v>1968</v>
      </c>
      <c r="C46" s="219">
        <v>0</v>
      </c>
      <c r="D46" s="58">
        <v>2500</v>
      </c>
      <c r="E46" s="58">
        <v>4500</v>
      </c>
      <c r="F46" s="58">
        <v>7600</v>
      </c>
      <c r="G46" s="58">
        <v>11250</v>
      </c>
      <c r="H46" s="58">
        <v>18000</v>
      </c>
      <c r="I46" s="58">
        <v>36000</v>
      </c>
      <c r="J46" s="58">
        <v>72000</v>
      </c>
      <c r="K46" s="140"/>
      <c r="L46" s="140"/>
      <c r="M46" s="140"/>
      <c r="N46" s="256"/>
      <c r="O46" s="256"/>
      <c r="P46" s="256"/>
      <c r="Q46" s="59">
        <v>0</v>
      </c>
      <c r="R46" s="141">
        <v>0.1</v>
      </c>
      <c r="S46" s="141">
        <v>0.15</v>
      </c>
      <c r="T46" s="141">
        <v>0.25</v>
      </c>
      <c r="U46" s="141">
        <v>0.3</v>
      </c>
      <c r="V46" s="141">
        <v>0.4</v>
      </c>
      <c r="W46" s="141">
        <v>0.5</v>
      </c>
      <c r="X46" s="141">
        <v>0.6</v>
      </c>
      <c r="Y46" s="186"/>
      <c r="Z46" s="256"/>
      <c r="AA46" s="256"/>
      <c r="AB46" s="256"/>
      <c r="AC46" s="256"/>
      <c r="AD46" s="256"/>
      <c r="AE46" s="144"/>
      <c r="AF46" s="144"/>
      <c r="AG46" s="62"/>
      <c r="AH46" s="145"/>
    </row>
    <row r="47" spans="1:37" ht="30" customHeight="1" x14ac:dyDescent="0.25">
      <c r="A47" s="227">
        <v>1968</v>
      </c>
      <c r="B47" s="227">
        <v>1967</v>
      </c>
      <c r="C47" s="219">
        <v>0</v>
      </c>
      <c r="D47" s="58">
        <v>2500</v>
      </c>
      <c r="E47" s="58">
        <v>4500</v>
      </c>
      <c r="F47" s="58">
        <v>7600</v>
      </c>
      <c r="G47" s="58">
        <v>11250</v>
      </c>
      <c r="H47" s="58">
        <v>18000</v>
      </c>
      <c r="I47" s="58">
        <v>36000</v>
      </c>
      <c r="J47" s="58">
        <v>72000</v>
      </c>
      <c r="K47" s="140"/>
      <c r="L47" s="140"/>
      <c r="M47" s="140"/>
      <c r="N47" s="256"/>
      <c r="O47" s="256"/>
      <c r="P47" s="256"/>
      <c r="Q47" s="59">
        <v>0</v>
      </c>
      <c r="R47" s="141">
        <v>0.1</v>
      </c>
      <c r="S47" s="141">
        <v>0.15</v>
      </c>
      <c r="T47" s="141">
        <v>0.25</v>
      </c>
      <c r="U47" s="141">
        <v>0.3</v>
      </c>
      <c r="V47" s="141">
        <v>0.4</v>
      </c>
      <c r="W47" s="141">
        <v>0.5</v>
      </c>
      <c r="X47" s="141">
        <v>0.6</v>
      </c>
      <c r="Y47" s="186"/>
      <c r="Z47" s="256"/>
      <c r="AA47" s="256"/>
      <c r="AB47" s="256"/>
      <c r="AC47" s="256"/>
      <c r="AD47" s="256"/>
      <c r="AE47" s="144"/>
      <c r="AF47" s="144"/>
      <c r="AG47" s="62"/>
      <c r="AH47" s="145"/>
    </row>
    <row r="48" spans="1:37" ht="30" customHeight="1" x14ac:dyDescent="0.25">
      <c r="A48" s="227">
        <v>1967</v>
      </c>
      <c r="B48" s="227">
        <v>1966</v>
      </c>
      <c r="C48" s="219">
        <v>0</v>
      </c>
      <c r="D48" s="58">
        <v>2500</v>
      </c>
      <c r="E48" s="58">
        <v>4500</v>
      </c>
      <c r="F48" s="58">
        <v>7600</v>
      </c>
      <c r="G48" s="58">
        <v>11250</v>
      </c>
      <c r="H48" s="58">
        <v>18000</v>
      </c>
      <c r="I48" s="58">
        <v>36000</v>
      </c>
      <c r="J48" s="58">
        <v>72000</v>
      </c>
      <c r="K48" s="140"/>
      <c r="L48" s="140"/>
      <c r="M48" s="140"/>
      <c r="N48" s="256"/>
      <c r="O48" s="256"/>
      <c r="P48" s="256"/>
      <c r="Q48" s="59">
        <v>0</v>
      </c>
      <c r="R48" s="141">
        <v>0.1</v>
      </c>
      <c r="S48" s="141">
        <v>0.15</v>
      </c>
      <c r="T48" s="141">
        <v>0.25</v>
      </c>
      <c r="U48" s="141">
        <v>0.3</v>
      </c>
      <c r="V48" s="141">
        <v>0.4</v>
      </c>
      <c r="W48" s="141">
        <v>0.55000000000000004</v>
      </c>
      <c r="X48" s="141">
        <v>0.65</v>
      </c>
      <c r="Y48" s="186"/>
      <c r="Z48" s="256"/>
      <c r="AA48" s="256"/>
      <c r="AB48" s="256"/>
      <c r="AC48" s="256"/>
      <c r="AD48" s="256"/>
      <c r="AE48" s="144"/>
      <c r="AF48" s="144"/>
      <c r="AG48" s="62"/>
      <c r="AH48" s="145"/>
    </row>
    <row r="49" spans="1:34" ht="30" customHeight="1" x14ac:dyDescent="0.25">
      <c r="A49" s="227">
        <v>1966</v>
      </c>
      <c r="B49" s="227">
        <v>1965</v>
      </c>
      <c r="C49" s="219">
        <v>0</v>
      </c>
      <c r="D49" s="58">
        <v>2500</v>
      </c>
      <c r="E49" s="58">
        <v>4500</v>
      </c>
      <c r="F49" s="58">
        <v>7600</v>
      </c>
      <c r="G49" s="58">
        <v>11250</v>
      </c>
      <c r="H49" s="58">
        <v>18000</v>
      </c>
      <c r="I49" s="58">
        <v>36000</v>
      </c>
      <c r="J49" s="58">
        <v>72000</v>
      </c>
      <c r="K49" s="140"/>
      <c r="L49" s="140"/>
      <c r="M49" s="140"/>
      <c r="N49" s="256"/>
      <c r="O49" s="256"/>
      <c r="P49" s="256"/>
      <c r="Q49" s="59">
        <v>0</v>
      </c>
      <c r="R49" s="141">
        <v>0.1</v>
      </c>
      <c r="S49" s="141">
        <v>0.15</v>
      </c>
      <c r="T49" s="141">
        <v>0.25</v>
      </c>
      <c r="U49" s="141">
        <v>0.3</v>
      </c>
      <c r="V49" s="141">
        <v>0.4</v>
      </c>
      <c r="W49" s="141">
        <v>0.5</v>
      </c>
      <c r="X49" s="141">
        <v>0.6</v>
      </c>
      <c r="Y49" s="186"/>
      <c r="Z49" s="256"/>
      <c r="AA49" s="256"/>
      <c r="AB49" s="256"/>
      <c r="AC49" s="256"/>
      <c r="AD49" s="256"/>
      <c r="AE49" s="144"/>
      <c r="AF49" s="144"/>
      <c r="AG49" s="62"/>
      <c r="AH49" s="145"/>
    </row>
    <row r="50" spans="1:34" ht="30" customHeight="1" x14ac:dyDescent="0.25">
      <c r="A50" s="227">
        <v>1965</v>
      </c>
      <c r="B50" s="227">
        <v>1964</v>
      </c>
      <c r="C50" s="219">
        <v>0</v>
      </c>
      <c r="D50" s="58">
        <v>2400</v>
      </c>
      <c r="E50" s="58">
        <v>4400</v>
      </c>
      <c r="F50" s="58">
        <v>7350</v>
      </c>
      <c r="G50" s="58">
        <v>10850</v>
      </c>
      <c r="H50" s="58">
        <v>17500</v>
      </c>
      <c r="I50" s="58">
        <v>35000</v>
      </c>
      <c r="J50" s="58">
        <v>70000</v>
      </c>
      <c r="K50" s="140"/>
      <c r="L50" s="140"/>
      <c r="M50" s="140"/>
      <c r="N50" s="256"/>
      <c r="O50" s="256"/>
      <c r="P50" s="256"/>
      <c r="Q50" s="59">
        <v>0</v>
      </c>
      <c r="R50" s="141">
        <v>0.1</v>
      </c>
      <c r="S50" s="141">
        <v>0.15</v>
      </c>
      <c r="T50" s="141">
        <v>0.25</v>
      </c>
      <c r="U50" s="141">
        <v>0.3</v>
      </c>
      <c r="V50" s="141">
        <v>0.4</v>
      </c>
      <c r="W50" s="141">
        <v>0.5</v>
      </c>
      <c r="X50" s="141">
        <v>0.6</v>
      </c>
      <c r="Y50" s="186"/>
      <c r="Z50" s="256"/>
      <c r="AA50" s="256"/>
      <c r="AB50" s="256"/>
      <c r="AC50" s="256"/>
      <c r="AD50" s="256"/>
      <c r="AE50" s="144"/>
      <c r="AF50" s="144"/>
      <c r="AG50" s="62"/>
      <c r="AH50" s="145"/>
    </row>
    <row r="51" spans="1:34" ht="30" customHeight="1" x14ac:dyDescent="0.25">
      <c r="A51" s="227">
        <v>1964</v>
      </c>
      <c r="B51" s="227">
        <v>1963</v>
      </c>
      <c r="C51" s="219">
        <v>0</v>
      </c>
      <c r="D51" s="58">
        <v>2400</v>
      </c>
      <c r="E51" s="58">
        <v>4000</v>
      </c>
      <c r="F51" s="58">
        <v>6750</v>
      </c>
      <c r="G51" s="58">
        <v>10000</v>
      </c>
      <c r="H51" s="58">
        <v>16250</v>
      </c>
      <c r="I51" s="58">
        <v>32000</v>
      </c>
      <c r="J51" s="58">
        <v>64000</v>
      </c>
      <c r="K51" s="140"/>
      <c r="L51" s="140"/>
      <c r="M51" s="140"/>
      <c r="N51" s="256"/>
      <c r="O51" s="256"/>
      <c r="P51" s="256"/>
      <c r="Q51" s="59">
        <v>0</v>
      </c>
      <c r="R51" s="141">
        <v>0.1</v>
      </c>
      <c r="S51" s="141">
        <v>0.15</v>
      </c>
      <c r="T51" s="141">
        <v>0.25</v>
      </c>
      <c r="U51" s="141">
        <v>0.3</v>
      </c>
      <c r="V51" s="141">
        <v>0.4</v>
      </c>
      <c r="W51" s="141">
        <v>0.5</v>
      </c>
      <c r="X51" s="141">
        <v>0.61499999999999999</v>
      </c>
      <c r="Y51" s="186"/>
      <c r="Z51" s="256"/>
      <c r="AA51" s="256"/>
      <c r="AB51" s="256"/>
      <c r="AC51" s="256"/>
      <c r="AD51" s="256"/>
      <c r="AE51" s="144"/>
      <c r="AF51" s="144"/>
      <c r="AG51" s="62"/>
      <c r="AH51" s="145"/>
    </row>
    <row r="52" spans="1:34" ht="30" customHeight="1" x14ac:dyDescent="0.25">
      <c r="A52" s="227">
        <v>1963</v>
      </c>
      <c r="B52" s="227">
        <v>1962</v>
      </c>
      <c r="C52" s="219">
        <v>0</v>
      </c>
      <c r="D52" s="58">
        <v>2400</v>
      </c>
      <c r="E52" s="58">
        <v>4000</v>
      </c>
      <c r="F52" s="58">
        <v>6750</v>
      </c>
      <c r="G52" s="58">
        <v>10000</v>
      </c>
      <c r="H52" s="58">
        <v>16250</v>
      </c>
      <c r="I52" s="58">
        <v>32000</v>
      </c>
      <c r="J52" s="58">
        <v>64000</v>
      </c>
      <c r="K52" s="140"/>
      <c r="L52" s="140"/>
      <c r="M52" s="140"/>
      <c r="N52" s="256"/>
      <c r="O52" s="256"/>
      <c r="P52" s="256"/>
      <c r="Q52" s="59">
        <v>0</v>
      </c>
      <c r="R52" s="141">
        <v>0.1</v>
      </c>
      <c r="S52" s="141">
        <v>0.15</v>
      </c>
      <c r="T52" s="141">
        <v>0.25</v>
      </c>
      <c r="U52" s="141">
        <v>0.3</v>
      </c>
      <c r="V52" s="141">
        <v>0.4</v>
      </c>
      <c r="W52" s="141">
        <v>0.5</v>
      </c>
      <c r="X52" s="141">
        <v>0.6</v>
      </c>
      <c r="Y52" s="186"/>
      <c r="Z52" s="256"/>
      <c r="AA52" s="256"/>
      <c r="AB52" s="256"/>
      <c r="AC52" s="256"/>
      <c r="AD52" s="256"/>
      <c r="AE52" s="144"/>
      <c r="AF52" s="144"/>
      <c r="AG52" s="62"/>
      <c r="AH52" s="145"/>
    </row>
    <row r="53" spans="1:34" ht="30" customHeight="1" x14ac:dyDescent="0.25">
      <c r="A53" s="227">
        <v>1962</v>
      </c>
      <c r="B53" s="227">
        <v>1961</v>
      </c>
      <c r="C53" s="219">
        <v>0</v>
      </c>
      <c r="D53" s="58">
        <v>2300</v>
      </c>
      <c r="E53" s="58">
        <v>4000</v>
      </c>
      <c r="F53" s="58">
        <v>6750</v>
      </c>
      <c r="G53" s="58">
        <v>10000</v>
      </c>
      <c r="H53" s="58">
        <v>16250</v>
      </c>
      <c r="I53" s="58">
        <v>32000</v>
      </c>
      <c r="J53" s="58">
        <v>64000</v>
      </c>
      <c r="K53" s="140"/>
      <c r="L53" s="140"/>
      <c r="M53" s="140"/>
      <c r="N53" s="256"/>
      <c r="O53" s="256"/>
      <c r="P53" s="256"/>
      <c r="Q53" s="59">
        <v>0</v>
      </c>
      <c r="R53" s="141">
        <v>0.1</v>
      </c>
      <c r="S53" s="141">
        <v>0.15</v>
      </c>
      <c r="T53" s="141">
        <v>0.25</v>
      </c>
      <c r="U53" s="141">
        <v>0.3</v>
      </c>
      <c r="V53" s="141">
        <v>0.4</v>
      </c>
      <c r="W53" s="141">
        <v>0.5</v>
      </c>
      <c r="X53" s="141">
        <v>0.6</v>
      </c>
      <c r="Y53" s="186"/>
      <c r="Z53" s="256"/>
      <c r="AA53" s="256"/>
      <c r="AB53" s="256"/>
      <c r="AC53" s="256"/>
      <c r="AD53" s="256"/>
      <c r="AE53" s="144"/>
      <c r="AF53" s="144"/>
      <c r="AG53" s="62"/>
      <c r="AH53" s="145"/>
    </row>
    <row r="54" spans="1:34" ht="30" customHeight="1" x14ac:dyDescent="0.25">
      <c r="A54" s="227">
        <v>1961</v>
      </c>
      <c r="B54" s="227">
        <v>1960</v>
      </c>
      <c r="C54" s="219">
        <v>0</v>
      </c>
      <c r="D54" s="58">
        <v>2300</v>
      </c>
      <c r="E54" s="58">
        <v>3750</v>
      </c>
      <c r="F54" s="58">
        <v>6500</v>
      </c>
      <c r="G54" s="58">
        <v>9750</v>
      </c>
      <c r="H54" s="58">
        <v>16250</v>
      </c>
      <c r="I54" s="58">
        <v>32000</v>
      </c>
      <c r="J54" s="58">
        <v>64000</v>
      </c>
      <c r="K54" s="140"/>
      <c r="L54" s="140"/>
      <c r="M54" s="140"/>
      <c r="N54" s="256"/>
      <c r="O54" s="256"/>
      <c r="P54" s="256"/>
      <c r="Q54" s="59">
        <v>0</v>
      </c>
      <c r="R54" s="141">
        <v>0.1</v>
      </c>
      <c r="S54" s="141">
        <v>0.15</v>
      </c>
      <c r="T54" s="141">
        <v>0.25</v>
      </c>
      <c r="U54" s="141">
        <v>0.3</v>
      </c>
      <c r="V54" s="141">
        <v>0.4</v>
      </c>
      <c r="W54" s="141">
        <v>0.5</v>
      </c>
      <c r="X54" s="141">
        <v>0.6</v>
      </c>
      <c r="Y54" s="186"/>
      <c r="Z54" s="256"/>
      <c r="AA54" s="256"/>
      <c r="AB54" s="256"/>
      <c r="AC54" s="256"/>
      <c r="AD54" s="256"/>
      <c r="AE54" s="144"/>
      <c r="AF54" s="144"/>
      <c r="AG54" s="62"/>
      <c r="AH54" s="251"/>
    </row>
    <row r="55" spans="1:34" ht="30" customHeight="1" x14ac:dyDescent="0.25">
      <c r="A55" s="227">
        <v>1960</v>
      </c>
      <c r="B55" s="227">
        <v>1959</v>
      </c>
      <c r="C55" s="219">
        <v>0</v>
      </c>
      <c r="D55" s="58">
        <v>220000</v>
      </c>
      <c r="E55" s="58">
        <v>350000</v>
      </c>
      <c r="F55" s="58">
        <v>600000</v>
      </c>
      <c r="G55" s="58">
        <v>900000</v>
      </c>
      <c r="H55" s="58">
        <v>1500000</v>
      </c>
      <c r="I55" s="58">
        <v>3000000</v>
      </c>
      <c r="J55" s="58">
        <v>6000000</v>
      </c>
      <c r="K55" s="140"/>
      <c r="L55" s="140"/>
      <c r="M55" s="140"/>
      <c r="N55" s="256"/>
      <c r="O55" s="256"/>
      <c r="P55" s="256"/>
      <c r="Q55" s="59">
        <v>0</v>
      </c>
      <c r="R55" s="141">
        <v>0.1</v>
      </c>
      <c r="S55" s="141">
        <v>0.15</v>
      </c>
      <c r="T55" s="141">
        <v>0.2</v>
      </c>
      <c r="U55" s="141">
        <v>0.3</v>
      </c>
      <c r="V55" s="141">
        <v>0.4</v>
      </c>
      <c r="W55" s="141">
        <v>0.5</v>
      </c>
      <c r="X55" s="141">
        <v>0.6</v>
      </c>
      <c r="Y55" s="186"/>
      <c r="Z55" s="256"/>
      <c r="AA55" s="256"/>
      <c r="AB55" s="256"/>
      <c r="AC55" s="256"/>
      <c r="AD55" s="256"/>
      <c r="AE55" s="252"/>
      <c r="AF55" s="252"/>
      <c r="AG55" s="253"/>
      <c r="AH55" s="251" t="s">
        <v>346</v>
      </c>
    </row>
    <row r="56" spans="1:34" ht="30" customHeight="1" x14ac:dyDescent="0.25">
      <c r="A56" s="227">
        <v>1959</v>
      </c>
      <c r="B56" s="227">
        <v>1958</v>
      </c>
      <c r="C56" s="219">
        <v>0</v>
      </c>
      <c r="D56" s="58">
        <v>220000</v>
      </c>
      <c r="E56" s="58">
        <v>350000</v>
      </c>
      <c r="F56" s="58">
        <v>600000</v>
      </c>
      <c r="G56" s="58">
        <v>900000</v>
      </c>
      <c r="H56" s="58">
        <v>1500000</v>
      </c>
      <c r="I56" s="58">
        <v>3000000</v>
      </c>
      <c r="J56" s="58">
        <v>6000000</v>
      </c>
      <c r="K56" s="140"/>
      <c r="L56" s="140"/>
      <c r="M56" s="140"/>
      <c r="N56" s="256"/>
      <c r="O56" s="256"/>
      <c r="P56" s="256"/>
      <c r="Q56" s="59">
        <v>0</v>
      </c>
      <c r="R56" s="141">
        <v>0.1</v>
      </c>
      <c r="S56" s="141">
        <v>0.15</v>
      </c>
      <c r="T56" s="141">
        <v>0.2</v>
      </c>
      <c r="U56" s="141">
        <v>0.3</v>
      </c>
      <c r="V56" s="141">
        <v>0.4</v>
      </c>
      <c r="W56" s="141">
        <v>0.5</v>
      </c>
      <c r="X56" s="141">
        <v>0.6</v>
      </c>
      <c r="Y56" s="186"/>
      <c r="Z56" s="256"/>
      <c r="AA56" s="256"/>
      <c r="AB56" s="256"/>
      <c r="AC56" s="256"/>
      <c r="AD56" s="256"/>
      <c r="AE56" s="252"/>
      <c r="AF56" s="252"/>
      <c r="AG56" s="254"/>
      <c r="AH56" s="251"/>
    </row>
    <row r="57" spans="1:34" ht="30" customHeight="1" x14ac:dyDescent="0.25">
      <c r="A57" s="227">
        <v>1958</v>
      </c>
      <c r="B57" s="227">
        <v>1957</v>
      </c>
      <c r="C57" s="219">
        <v>0</v>
      </c>
      <c r="D57" s="58">
        <v>220000</v>
      </c>
      <c r="E57" s="58">
        <v>350000</v>
      </c>
      <c r="F57" s="58">
        <v>600000</v>
      </c>
      <c r="G57" s="58">
        <v>900000</v>
      </c>
      <c r="H57" s="58">
        <v>1500000</v>
      </c>
      <c r="I57" s="58">
        <v>3000000</v>
      </c>
      <c r="J57" s="58">
        <v>6000000</v>
      </c>
      <c r="K57" s="140"/>
      <c r="L57" s="140"/>
      <c r="M57" s="140"/>
      <c r="N57" s="256"/>
      <c r="O57" s="256"/>
      <c r="P57" s="256"/>
      <c r="Q57" s="59">
        <v>0</v>
      </c>
      <c r="R57" s="141">
        <v>0.1</v>
      </c>
      <c r="S57" s="141">
        <v>0.15</v>
      </c>
      <c r="T57" s="141">
        <v>0.2</v>
      </c>
      <c r="U57" s="141">
        <v>0.3</v>
      </c>
      <c r="V57" s="141">
        <v>0.4</v>
      </c>
      <c r="W57" s="141">
        <v>0.5</v>
      </c>
      <c r="X57" s="141">
        <v>0.6</v>
      </c>
      <c r="Y57" s="186"/>
      <c r="Z57" s="256"/>
      <c r="AA57" s="256"/>
      <c r="AB57" s="256"/>
      <c r="AC57" s="256"/>
      <c r="AD57" s="256"/>
      <c r="AE57" s="252"/>
      <c r="AF57" s="252"/>
      <c r="AG57" s="254"/>
      <c r="AH57" s="251"/>
    </row>
    <row r="58" spans="1:34" ht="30" customHeight="1" x14ac:dyDescent="0.25">
      <c r="A58" s="227">
        <v>1957</v>
      </c>
      <c r="B58" s="227">
        <v>1956</v>
      </c>
      <c r="C58" s="219">
        <v>0</v>
      </c>
      <c r="D58" s="58">
        <v>220000</v>
      </c>
      <c r="E58" s="58">
        <v>350000</v>
      </c>
      <c r="F58" s="58">
        <v>600000</v>
      </c>
      <c r="G58" s="58">
        <v>900000</v>
      </c>
      <c r="H58" s="58">
        <v>1500000</v>
      </c>
      <c r="I58" s="58">
        <v>3000000</v>
      </c>
      <c r="J58" s="58">
        <v>6000000</v>
      </c>
      <c r="K58" s="140"/>
      <c r="L58" s="140"/>
      <c r="M58" s="140"/>
      <c r="N58" s="256"/>
      <c r="O58" s="256"/>
      <c r="P58" s="256"/>
      <c r="Q58" s="59">
        <v>0</v>
      </c>
      <c r="R58" s="141">
        <v>0.1</v>
      </c>
      <c r="S58" s="141">
        <v>0.15</v>
      </c>
      <c r="T58" s="141">
        <v>0.2</v>
      </c>
      <c r="U58" s="141">
        <v>0.3</v>
      </c>
      <c r="V58" s="141">
        <v>0.4</v>
      </c>
      <c r="W58" s="141">
        <v>0.5</v>
      </c>
      <c r="X58" s="141">
        <v>0.6</v>
      </c>
      <c r="Y58" s="186"/>
      <c r="Z58" s="256"/>
      <c r="AA58" s="256"/>
      <c r="AB58" s="256"/>
      <c r="AC58" s="256"/>
      <c r="AD58" s="256"/>
      <c r="AE58" s="252"/>
      <c r="AF58" s="252"/>
      <c r="AG58" s="254"/>
      <c r="AH58" s="251"/>
    </row>
    <row r="59" spans="1:34" ht="30" customHeight="1" x14ac:dyDescent="0.25">
      <c r="A59" s="227">
        <v>1956</v>
      </c>
      <c r="B59" s="227">
        <v>1955</v>
      </c>
      <c r="C59" s="219">
        <v>0</v>
      </c>
      <c r="D59" s="58">
        <v>220000</v>
      </c>
      <c r="E59" s="58">
        <v>350000</v>
      </c>
      <c r="F59" s="58">
        <v>600000</v>
      </c>
      <c r="G59" s="58">
        <v>900000</v>
      </c>
      <c r="H59" s="58">
        <v>1500000</v>
      </c>
      <c r="I59" s="58">
        <v>3000000</v>
      </c>
      <c r="J59" s="58">
        <v>6000000</v>
      </c>
      <c r="K59" s="140"/>
      <c r="L59" s="140"/>
      <c r="M59" s="140"/>
      <c r="N59" s="256"/>
      <c r="O59" s="256"/>
      <c r="P59" s="256"/>
      <c r="Q59" s="59">
        <v>0</v>
      </c>
      <c r="R59" s="141">
        <v>0.1</v>
      </c>
      <c r="S59" s="141">
        <v>0.15</v>
      </c>
      <c r="T59" s="141">
        <v>0.2</v>
      </c>
      <c r="U59" s="141">
        <v>0.3</v>
      </c>
      <c r="V59" s="141">
        <v>0.4</v>
      </c>
      <c r="W59" s="141">
        <v>0.5</v>
      </c>
      <c r="X59" s="141">
        <v>0.6</v>
      </c>
      <c r="Y59" s="186"/>
      <c r="Z59" s="256"/>
      <c r="AA59" s="256"/>
      <c r="AB59" s="256"/>
      <c r="AC59" s="256"/>
      <c r="AD59" s="256"/>
      <c r="AE59" s="252"/>
      <c r="AF59" s="252"/>
      <c r="AG59" s="254"/>
      <c r="AH59" s="251"/>
    </row>
    <row r="60" spans="1:34" ht="30" customHeight="1" x14ac:dyDescent="0.25">
      <c r="A60" s="227">
        <v>1955</v>
      </c>
      <c r="B60" s="227">
        <v>1954</v>
      </c>
      <c r="C60" s="219">
        <v>0</v>
      </c>
      <c r="D60" s="58">
        <v>220000</v>
      </c>
      <c r="E60" s="58">
        <v>350000</v>
      </c>
      <c r="F60" s="58">
        <v>600000</v>
      </c>
      <c r="G60" s="58">
        <v>900000</v>
      </c>
      <c r="H60" s="58">
        <v>1500000</v>
      </c>
      <c r="I60" s="58">
        <v>3000000</v>
      </c>
      <c r="J60" s="58">
        <v>6000000</v>
      </c>
      <c r="K60" s="140"/>
      <c r="L60" s="140"/>
      <c r="M60" s="140"/>
      <c r="N60" s="256"/>
      <c r="O60" s="256"/>
      <c r="P60" s="256"/>
      <c r="Q60" s="59">
        <v>0</v>
      </c>
      <c r="R60" s="141">
        <v>0.1</v>
      </c>
      <c r="S60" s="141">
        <v>0.15</v>
      </c>
      <c r="T60" s="141">
        <v>0.2</v>
      </c>
      <c r="U60" s="141">
        <v>0.3</v>
      </c>
      <c r="V60" s="141">
        <v>0.4</v>
      </c>
      <c r="W60" s="141">
        <v>0.5</v>
      </c>
      <c r="X60" s="141">
        <v>0.6</v>
      </c>
      <c r="Y60" s="186"/>
      <c r="Z60" s="256"/>
      <c r="AA60" s="256"/>
      <c r="AB60" s="256"/>
      <c r="AC60" s="256"/>
      <c r="AD60" s="256"/>
      <c r="AE60" s="252"/>
      <c r="AF60" s="252"/>
      <c r="AG60" s="254"/>
      <c r="AH60" s="251"/>
    </row>
    <row r="61" spans="1:34" ht="30" customHeight="1" x14ac:dyDescent="0.25">
      <c r="A61" s="227">
        <v>1954</v>
      </c>
      <c r="B61" s="227">
        <v>1953</v>
      </c>
      <c r="C61" s="219">
        <v>0</v>
      </c>
      <c r="D61" s="58">
        <v>220000</v>
      </c>
      <c r="E61" s="58">
        <v>350000</v>
      </c>
      <c r="F61" s="58">
        <v>600000</v>
      </c>
      <c r="G61" s="58">
        <v>900000</v>
      </c>
      <c r="H61" s="58">
        <v>1500000</v>
      </c>
      <c r="I61" s="58">
        <v>3000000</v>
      </c>
      <c r="J61" s="58">
        <v>6000000</v>
      </c>
      <c r="K61" s="140"/>
      <c r="L61" s="140"/>
      <c r="M61" s="140"/>
      <c r="N61" s="256"/>
      <c r="O61" s="256"/>
      <c r="P61" s="256"/>
      <c r="Q61" s="59">
        <v>0</v>
      </c>
      <c r="R61" s="141">
        <v>0.1</v>
      </c>
      <c r="S61" s="141">
        <v>0.15</v>
      </c>
      <c r="T61" s="141">
        <v>0.2</v>
      </c>
      <c r="U61" s="141">
        <v>0.3</v>
      </c>
      <c r="V61" s="141">
        <v>0.4</v>
      </c>
      <c r="W61" s="141">
        <v>0.5</v>
      </c>
      <c r="X61" s="141">
        <v>0.6</v>
      </c>
      <c r="Y61" s="186"/>
      <c r="Z61" s="256"/>
      <c r="AA61" s="256"/>
      <c r="AB61" s="256"/>
      <c r="AC61" s="256"/>
      <c r="AD61" s="256"/>
      <c r="AE61" s="252"/>
      <c r="AF61" s="252"/>
      <c r="AG61" s="254"/>
      <c r="AH61" s="251"/>
    </row>
    <row r="62" spans="1:34" ht="30" customHeight="1" x14ac:dyDescent="0.25">
      <c r="A62" s="227">
        <v>1953</v>
      </c>
      <c r="B62" s="227">
        <v>1952</v>
      </c>
      <c r="C62" s="219">
        <v>0</v>
      </c>
      <c r="D62" s="58">
        <v>180000</v>
      </c>
      <c r="E62" s="58">
        <v>350000</v>
      </c>
      <c r="F62" s="58">
        <v>600000</v>
      </c>
      <c r="G62" s="58">
        <v>900000</v>
      </c>
      <c r="H62" s="58">
        <v>1500000</v>
      </c>
      <c r="I62" s="58">
        <v>3000000</v>
      </c>
      <c r="J62" s="58">
        <v>6000000</v>
      </c>
      <c r="K62" s="140"/>
      <c r="L62" s="140"/>
      <c r="M62" s="140"/>
      <c r="N62" s="256"/>
      <c r="O62" s="256"/>
      <c r="P62" s="256"/>
      <c r="Q62" s="59">
        <v>0</v>
      </c>
      <c r="R62" s="141">
        <v>0.1</v>
      </c>
      <c r="S62" s="141">
        <v>0.15</v>
      </c>
      <c r="T62" s="141">
        <v>0.2</v>
      </c>
      <c r="U62" s="141">
        <v>0.3</v>
      </c>
      <c r="V62" s="141">
        <v>0.4</v>
      </c>
      <c r="W62" s="141">
        <v>0.5</v>
      </c>
      <c r="X62" s="141">
        <v>0.6</v>
      </c>
      <c r="Y62" s="186"/>
      <c r="Z62" s="256"/>
      <c r="AA62" s="256"/>
      <c r="AB62" s="256"/>
      <c r="AC62" s="256"/>
      <c r="AD62" s="256"/>
      <c r="AE62" s="252"/>
      <c r="AF62" s="252"/>
      <c r="AG62" s="254"/>
      <c r="AH62" s="251"/>
    </row>
    <row r="63" spans="1:34" ht="30" customHeight="1" x14ac:dyDescent="0.25">
      <c r="A63" s="227">
        <v>1952</v>
      </c>
      <c r="B63" s="227">
        <v>1951</v>
      </c>
      <c r="C63" s="219">
        <v>0</v>
      </c>
      <c r="D63" s="58">
        <v>180000</v>
      </c>
      <c r="E63" s="58">
        <v>350000</v>
      </c>
      <c r="F63" s="58">
        <v>600000</v>
      </c>
      <c r="G63" s="58">
        <v>900000</v>
      </c>
      <c r="H63" s="58">
        <v>1500000</v>
      </c>
      <c r="I63" s="58">
        <v>3000000</v>
      </c>
      <c r="J63" s="58">
        <v>6000000</v>
      </c>
      <c r="K63" s="140"/>
      <c r="L63" s="140"/>
      <c r="M63" s="140"/>
      <c r="N63" s="256"/>
      <c r="O63" s="256"/>
      <c r="P63" s="256"/>
      <c r="Q63" s="59">
        <v>0</v>
      </c>
      <c r="R63" s="141">
        <v>0.1</v>
      </c>
      <c r="S63" s="141">
        <v>0.15</v>
      </c>
      <c r="T63" s="141">
        <v>0.2</v>
      </c>
      <c r="U63" s="141">
        <v>0.3</v>
      </c>
      <c r="V63" s="141">
        <v>0.4</v>
      </c>
      <c r="W63" s="141">
        <v>0.5</v>
      </c>
      <c r="X63" s="141">
        <v>0.6</v>
      </c>
      <c r="Y63" s="186"/>
      <c r="Z63" s="256"/>
      <c r="AA63" s="256"/>
      <c r="AB63" s="256"/>
      <c r="AC63" s="256"/>
      <c r="AD63" s="256"/>
      <c r="AE63" s="252"/>
      <c r="AF63" s="252"/>
      <c r="AG63" s="254"/>
      <c r="AH63" s="251"/>
    </row>
    <row r="64" spans="1:34" ht="30" customHeight="1" x14ac:dyDescent="0.25">
      <c r="A64" s="227">
        <v>1951</v>
      </c>
      <c r="B64" s="227">
        <v>1950</v>
      </c>
      <c r="C64" s="219">
        <v>0</v>
      </c>
      <c r="D64" s="58">
        <v>140000</v>
      </c>
      <c r="E64" s="58">
        <v>300000</v>
      </c>
      <c r="F64" s="58">
        <v>500000</v>
      </c>
      <c r="G64" s="58">
        <v>750000</v>
      </c>
      <c r="H64" s="58">
        <v>1200000</v>
      </c>
      <c r="I64" s="58">
        <v>1500000</v>
      </c>
      <c r="J64" s="58">
        <v>5000000</v>
      </c>
      <c r="K64" s="140"/>
      <c r="L64" s="140"/>
      <c r="M64" s="140"/>
      <c r="N64" s="256"/>
      <c r="O64" s="256"/>
      <c r="P64" s="256"/>
      <c r="Q64" s="59">
        <v>0</v>
      </c>
      <c r="R64" s="141">
        <v>0.1</v>
      </c>
      <c r="S64" s="141">
        <v>0.15</v>
      </c>
      <c r="T64" s="141">
        <v>0.2</v>
      </c>
      <c r="U64" s="141">
        <v>0.3</v>
      </c>
      <c r="V64" s="141">
        <v>0.4</v>
      </c>
      <c r="W64" s="141">
        <v>0.5</v>
      </c>
      <c r="X64" s="141">
        <v>0.6</v>
      </c>
      <c r="Y64" s="186"/>
      <c r="Z64" s="256"/>
      <c r="AA64" s="256"/>
      <c r="AB64" s="256"/>
      <c r="AC64" s="256"/>
      <c r="AD64" s="256"/>
      <c r="AE64" s="252"/>
      <c r="AF64" s="252"/>
      <c r="AG64" s="254"/>
      <c r="AH64" s="251"/>
    </row>
    <row r="65" spans="1:34" ht="30" customHeight="1" x14ac:dyDescent="0.25">
      <c r="A65" s="227">
        <v>1950</v>
      </c>
      <c r="B65" s="227">
        <v>1949</v>
      </c>
      <c r="C65" s="219">
        <v>0</v>
      </c>
      <c r="D65" s="58">
        <v>120000</v>
      </c>
      <c r="E65" s="58">
        <v>250000</v>
      </c>
      <c r="F65" s="58">
        <v>500000</v>
      </c>
      <c r="G65" s="58">
        <v>800000</v>
      </c>
      <c r="H65" s="58">
        <v>1200000</v>
      </c>
      <c r="I65" s="58">
        <v>2000000</v>
      </c>
      <c r="J65" s="58">
        <v>3000000</v>
      </c>
      <c r="K65" s="140"/>
      <c r="L65" s="140"/>
      <c r="M65" s="140"/>
      <c r="N65" s="256"/>
      <c r="O65" s="256"/>
      <c r="P65" s="256"/>
      <c r="Q65" s="59">
        <v>0</v>
      </c>
      <c r="R65" s="141">
        <v>0.1</v>
      </c>
      <c r="S65" s="141">
        <v>0.15</v>
      </c>
      <c r="T65" s="141">
        <v>0.2</v>
      </c>
      <c r="U65" s="141">
        <v>0.3</v>
      </c>
      <c r="V65" s="141">
        <v>0.4</v>
      </c>
      <c r="W65" s="141">
        <v>0.5</v>
      </c>
      <c r="X65" s="141">
        <v>0.6</v>
      </c>
      <c r="Y65" s="186"/>
      <c r="Z65" s="256"/>
      <c r="AA65" s="256"/>
      <c r="AB65" s="256"/>
      <c r="AC65" s="256"/>
      <c r="AD65" s="256"/>
      <c r="AE65" s="252"/>
      <c r="AF65" s="252"/>
      <c r="AG65" s="254"/>
      <c r="AH65" s="251"/>
    </row>
    <row r="66" spans="1:34" ht="30" customHeight="1" x14ac:dyDescent="0.25">
      <c r="A66" s="227">
        <v>1949</v>
      </c>
      <c r="B66" s="227">
        <v>1948</v>
      </c>
      <c r="C66" s="219">
        <v>0</v>
      </c>
      <c r="D66" s="58">
        <v>120000</v>
      </c>
      <c r="E66" s="58">
        <v>200000</v>
      </c>
      <c r="F66" s="58">
        <v>300000</v>
      </c>
      <c r="G66" s="58">
        <v>500000</v>
      </c>
      <c r="H66" s="58">
        <v>800000</v>
      </c>
      <c r="I66" s="58">
        <v>1200000</v>
      </c>
      <c r="J66" s="58">
        <v>2000000</v>
      </c>
      <c r="K66" s="58">
        <v>3000000</v>
      </c>
      <c r="L66" s="140"/>
      <c r="M66" s="140"/>
      <c r="N66" s="256"/>
      <c r="O66" s="256"/>
      <c r="P66" s="256"/>
      <c r="Q66" s="59">
        <v>0</v>
      </c>
      <c r="R66" s="141">
        <v>0.1</v>
      </c>
      <c r="S66" s="141">
        <v>0.15</v>
      </c>
      <c r="T66" s="141">
        <v>0.2</v>
      </c>
      <c r="U66" s="141">
        <v>0.25</v>
      </c>
      <c r="V66" s="141">
        <v>0.3</v>
      </c>
      <c r="W66" s="141">
        <v>0.4</v>
      </c>
      <c r="X66" s="141">
        <v>0.5</v>
      </c>
      <c r="Y66" s="141">
        <v>0.6</v>
      </c>
      <c r="Z66" s="256"/>
      <c r="AA66" s="256"/>
      <c r="AB66" s="256"/>
      <c r="AC66" s="256"/>
      <c r="AD66" s="256"/>
      <c r="AE66" s="252"/>
      <c r="AF66" s="252"/>
      <c r="AG66" s="254"/>
      <c r="AH66" s="251"/>
    </row>
    <row r="67" spans="1:34" ht="30" customHeight="1" x14ac:dyDescent="0.25">
      <c r="A67" s="227">
        <v>1948</v>
      </c>
      <c r="B67" s="227">
        <v>1947</v>
      </c>
      <c r="C67" s="219">
        <v>0</v>
      </c>
      <c r="D67" s="58">
        <v>100000</v>
      </c>
      <c r="E67" s="58">
        <v>200000</v>
      </c>
      <c r="F67" s="58">
        <v>500000</v>
      </c>
      <c r="G67" s="58">
        <v>1000000</v>
      </c>
      <c r="H67" s="58">
        <v>2000000</v>
      </c>
      <c r="I67" s="140"/>
      <c r="J67" s="140"/>
      <c r="K67" s="140"/>
      <c r="L67" s="140"/>
      <c r="M67" s="140"/>
      <c r="N67" s="140"/>
      <c r="O67" s="140"/>
      <c r="P67" s="140"/>
      <c r="Q67" s="59">
        <v>0</v>
      </c>
      <c r="R67" s="141">
        <v>0.12</v>
      </c>
      <c r="S67" s="141">
        <v>0.24</v>
      </c>
      <c r="T67" s="141">
        <v>0.36</v>
      </c>
      <c r="U67" s="141">
        <v>0.48</v>
      </c>
      <c r="V67" s="141">
        <v>0.6</v>
      </c>
      <c r="W67" s="186"/>
      <c r="X67" s="186"/>
      <c r="Y67" s="186"/>
      <c r="Z67" s="256"/>
      <c r="AA67" s="256"/>
      <c r="AB67" s="256"/>
      <c r="AC67" s="256"/>
      <c r="AD67" s="256"/>
      <c r="AE67" s="252"/>
      <c r="AF67" s="252"/>
      <c r="AG67" s="254"/>
      <c r="AH67" s="251"/>
    </row>
    <row r="68" spans="1:34" ht="30" customHeight="1" x14ac:dyDescent="0.25">
      <c r="A68" s="227">
        <v>1947</v>
      </c>
      <c r="B68" s="227">
        <v>1946</v>
      </c>
      <c r="C68" s="219">
        <v>0</v>
      </c>
      <c r="D68" s="58">
        <v>40000</v>
      </c>
      <c r="E68" s="58">
        <v>200000</v>
      </c>
      <c r="F68" s="58">
        <v>500000</v>
      </c>
      <c r="G68" s="58">
        <v>1000000</v>
      </c>
      <c r="H68" s="140"/>
      <c r="I68" s="140"/>
      <c r="J68" s="140"/>
      <c r="K68" s="140"/>
      <c r="L68" s="140"/>
      <c r="M68" s="140"/>
      <c r="N68" s="140"/>
      <c r="O68" s="140"/>
      <c r="P68" s="140"/>
      <c r="Q68" s="59">
        <v>0</v>
      </c>
      <c r="R68" s="141">
        <v>0.12</v>
      </c>
      <c r="S68" s="141">
        <v>0.3</v>
      </c>
      <c r="T68" s="141">
        <v>0.45</v>
      </c>
      <c r="U68" s="141">
        <v>0.6</v>
      </c>
      <c r="V68" s="186"/>
      <c r="W68" s="256"/>
      <c r="X68" s="256"/>
      <c r="Y68" s="256"/>
      <c r="Z68" s="256"/>
      <c r="AA68" s="256"/>
      <c r="AB68" s="256"/>
      <c r="AC68" s="256"/>
      <c r="AD68" s="256"/>
      <c r="AE68" s="252"/>
      <c r="AF68" s="252"/>
      <c r="AG68" s="254"/>
      <c r="AH68" s="145"/>
    </row>
    <row r="69" spans="1:34" ht="30" customHeight="1" x14ac:dyDescent="0.25">
      <c r="A69" s="227">
        <v>1946</v>
      </c>
      <c r="B69" s="227">
        <v>1945</v>
      </c>
      <c r="C69" s="219">
        <v>0</v>
      </c>
      <c r="D69" s="58">
        <v>40000</v>
      </c>
      <c r="E69" s="58">
        <v>100000</v>
      </c>
      <c r="F69" s="58">
        <v>300000</v>
      </c>
      <c r="G69" s="58">
        <v>500000</v>
      </c>
      <c r="H69" s="140"/>
      <c r="I69" s="140"/>
      <c r="J69" s="140"/>
      <c r="K69" s="140"/>
      <c r="L69" s="140"/>
      <c r="M69" s="140"/>
      <c r="N69" s="140"/>
      <c r="O69" s="140"/>
      <c r="P69" s="140"/>
      <c r="Q69" s="59">
        <v>0</v>
      </c>
      <c r="R69" s="141">
        <v>0.12</v>
      </c>
      <c r="S69" s="141">
        <v>0.3</v>
      </c>
      <c r="T69" s="141">
        <v>0.45</v>
      </c>
      <c r="U69" s="141">
        <v>0.6</v>
      </c>
      <c r="V69" s="186"/>
      <c r="W69" s="256"/>
      <c r="X69" s="256"/>
      <c r="Y69" s="256"/>
      <c r="Z69" s="256"/>
      <c r="AA69" s="256"/>
      <c r="AB69" s="256"/>
      <c r="AC69" s="256"/>
      <c r="AD69" s="256"/>
      <c r="AE69" s="252"/>
      <c r="AF69" s="252"/>
      <c r="AG69" s="254"/>
      <c r="AH69" s="251"/>
    </row>
    <row r="70" spans="1:34" ht="30" customHeight="1" x14ac:dyDescent="0.25">
      <c r="C70" s="18"/>
      <c r="D70" s="18"/>
      <c r="E70" s="18"/>
      <c r="F70" s="18"/>
      <c r="G70" s="18"/>
      <c r="H70" s="18"/>
      <c r="I70" s="18"/>
      <c r="J70" s="18"/>
      <c r="K70" s="18"/>
      <c r="L70" s="18"/>
      <c r="M70" s="18"/>
      <c r="N70" s="18"/>
      <c r="O70" s="18"/>
      <c r="P70" s="18"/>
      <c r="Q70" s="21"/>
      <c r="R70" s="21"/>
      <c r="S70" s="21"/>
      <c r="T70" s="21"/>
      <c r="U70" s="21"/>
      <c r="V70" s="18"/>
      <c r="W70" s="6"/>
      <c r="X70" s="6"/>
      <c r="Y70" s="6"/>
      <c r="Z70" s="6"/>
      <c r="AA70" s="6"/>
      <c r="AB70" s="6"/>
      <c r="AC70" s="6"/>
      <c r="AD70" s="6"/>
      <c r="AE70" s="10"/>
      <c r="AF70" s="10"/>
      <c r="AG70" s="64"/>
      <c r="AH70" s="9"/>
    </row>
    <row r="71" spans="1:34" ht="30" customHeight="1" x14ac:dyDescent="0.25">
      <c r="C71" s="18"/>
      <c r="D71" s="18"/>
      <c r="E71" s="18"/>
      <c r="F71" s="18"/>
      <c r="G71" s="18"/>
      <c r="H71" s="18"/>
      <c r="I71" s="18"/>
      <c r="J71" s="18"/>
      <c r="K71" s="18"/>
      <c r="L71" s="18"/>
      <c r="M71" s="18"/>
      <c r="N71" s="18"/>
      <c r="O71" s="18"/>
      <c r="P71" s="18"/>
      <c r="Q71" s="21"/>
      <c r="R71" s="21"/>
      <c r="S71" s="21"/>
      <c r="T71" s="21"/>
      <c r="U71" s="21"/>
      <c r="V71" s="18"/>
      <c r="W71" s="6"/>
      <c r="X71" s="6"/>
      <c r="Y71" s="6"/>
      <c r="Z71" s="6"/>
      <c r="AA71" s="6"/>
      <c r="AB71" s="6"/>
      <c r="AC71" s="6"/>
      <c r="AD71" s="6"/>
      <c r="AE71" s="10"/>
      <c r="AF71" s="10"/>
      <c r="AG71" s="64"/>
      <c r="AH71" s="9"/>
    </row>
    <row r="72" spans="1:34" ht="30" customHeight="1" x14ac:dyDescent="0.25">
      <c r="C72" s="20"/>
      <c r="D72" s="20"/>
      <c r="E72" s="20"/>
      <c r="F72" s="20"/>
      <c r="G72" s="20"/>
      <c r="H72" s="20"/>
      <c r="I72" s="20"/>
      <c r="J72" s="20"/>
      <c r="K72" s="20"/>
      <c r="L72" s="20"/>
      <c r="M72" s="20"/>
      <c r="N72" s="20"/>
      <c r="O72" s="20"/>
      <c r="P72" s="20"/>
      <c r="Q72" s="22"/>
      <c r="R72" s="22"/>
      <c r="S72" s="22"/>
      <c r="T72" s="22"/>
      <c r="U72" s="22"/>
      <c r="V72" s="20"/>
      <c r="W72" s="12"/>
      <c r="X72" s="12"/>
      <c r="Y72" s="12"/>
      <c r="Z72" s="12"/>
      <c r="AA72" s="12"/>
      <c r="AB72" s="12"/>
      <c r="AC72" s="12"/>
      <c r="AD72" s="12"/>
      <c r="AE72" s="10"/>
      <c r="AF72" s="10"/>
      <c r="AG72" s="64"/>
      <c r="AH72" s="9"/>
    </row>
    <row r="73" spans="1:34" ht="30" customHeight="1" x14ac:dyDescent="0.25">
      <c r="C73" s="20"/>
      <c r="D73" s="20"/>
      <c r="E73" s="20"/>
      <c r="F73" s="20"/>
      <c r="G73" s="20"/>
      <c r="H73" s="20"/>
      <c r="I73" s="20"/>
      <c r="J73" s="20"/>
      <c r="K73" s="20"/>
      <c r="L73" s="20"/>
      <c r="M73" s="20"/>
      <c r="N73" s="20"/>
      <c r="O73" s="20"/>
      <c r="P73" s="20"/>
      <c r="Q73" s="22"/>
      <c r="R73" s="22"/>
      <c r="S73" s="22"/>
      <c r="T73" s="22"/>
      <c r="U73" s="22"/>
      <c r="V73" s="20"/>
      <c r="W73" s="12"/>
      <c r="X73" s="12"/>
      <c r="Y73" s="12"/>
      <c r="Z73" s="12"/>
      <c r="AA73" s="12"/>
      <c r="AB73" s="12"/>
      <c r="AC73" s="12"/>
      <c r="AD73" s="12"/>
      <c r="AE73" s="10"/>
      <c r="AF73" s="10"/>
      <c r="AG73" s="64"/>
      <c r="AH73" s="9"/>
    </row>
    <row r="74" spans="1:34" ht="30" customHeight="1" x14ac:dyDescent="0.25">
      <c r="C74" s="20"/>
      <c r="D74" s="20"/>
      <c r="E74" s="20"/>
      <c r="F74" s="20"/>
      <c r="G74" s="20"/>
      <c r="H74" s="20"/>
      <c r="I74" s="20"/>
      <c r="J74" s="20"/>
      <c r="K74" s="20"/>
      <c r="L74" s="20"/>
      <c r="M74" s="20"/>
      <c r="N74" s="20"/>
      <c r="O74" s="20"/>
      <c r="P74" s="20"/>
      <c r="Q74" s="22"/>
      <c r="R74" s="22"/>
      <c r="S74" s="22"/>
      <c r="T74" s="22"/>
      <c r="U74" s="22"/>
      <c r="V74" s="20"/>
      <c r="W74" s="12"/>
      <c r="X74" s="12"/>
      <c r="Y74" s="12"/>
      <c r="Z74" s="12"/>
      <c r="AA74" s="12"/>
      <c r="AB74" s="12"/>
      <c r="AC74" s="12"/>
      <c r="AD74" s="12"/>
      <c r="AE74" s="10"/>
      <c r="AF74" s="10"/>
      <c r="AG74" s="64"/>
      <c r="AH74" s="9"/>
    </row>
    <row r="75" spans="1:34" ht="30" customHeight="1" x14ac:dyDescent="0.25">
      <c r="C75" s="20"/>
      <c r="D75" s="20"/>
      <c r="E75" s="20"/>
      <c r="F75" s="20"/>
      <c r="G75" s="20"/>
      <c r="H75" s="20"/>
      <c r="I75" s="20"/>
      <c r="J75" s="20"/>
      <c r="K75" s="20"/>
      <c r="L75" s="20"/>
      <c r="M75" s="20"/>
      <c r="N75" s="20"/>
      <c r="O75" s="20"/>
      <c r="P75" s="20"/>
      <c r="Q75" s="22"/>
      <c r="R75" s="22"/>
      <c r="S75" s="22"/>
      <c r="T75" s="22"/>
      <c r="U75" s="22"/>
      <c r="V75" s="20"/>
      <c r="W75" s="12"/>
      <c r="X75" s="12"/>
      <c r="Y75" s="12"/>
      <c r="Z75" s="12"/>
      <c r="AA75" s="12"/>
      <c r="AB75" s="12"/>
      <c r="AC75" s="12"/>
      <c r="AD75" s="12"/>
      <c r="AE75" s="10"/>
      <c r="AF75" s="10"/>
      <c r="AG75" s="64"/>
      <c r="AH75" s="9"/>
    </row>
    <row r="76" spans="1:34" ht="30" customHeight="1" x14ac:dyDescent="0.25">
      <c r="C76" s="20"/>
      <c r="D76" s="20"/>
      <c r="E76" s="20"/>
      <c r="F76" s="20"/>
      <c r="G76" s="20"/>
      <c r="H76" s="20"/>
      <c r="I76" s="20"/>
      <c r="J76" s="20"/>
      <c r="K76" s="20"/>
      <c r="L76" s="20"/>
      <c r="M76" s="20"/>
      <c r="N76" s="20"/>
      <c r="O76" s="20"/>
      <c r="P76" s="20"/>
      <c r="Q76" s="22"/>
      <c r="R76" s="22"/>
      <c r="S76" s="22"/>
      <c r="T76" s="22"/>
      <c r="U76" s="22"/>
      <c r="V76" s="20"/>
      <c r="W76" s="12"/>
      <c r="X76" s="12"/>
      <c r="Y76" s="12"/>
      <c r="Z76" s="12"/>
      <c r="AA76" s="12"/>
      <c r="AB76" s="12"/>
      <c r="AC76" s="12"/>
      <c r="AD76" s="12"/>
      <c r="AE76" s="10"/>
      <c r="AF76" s="10"/>
      <c r="AG76" s="64"/>
      <c r="AH76" s="9"/>
    </row>
    <row r="77" spans="1:34" ht="30" customHeight="1" x14ac:dyDescent="0.25">
      <c r="C77" s="20"/>
      <c r="D77" s="20"/>
      <c r="E77" s="20"/>
      <c r="F77" s="20"/>
      <c r="G77" s="20"/>
      <c r="H77" s="20"/>
      <c r="I77" s="20"/>
      <c r="J77" s="20"/>
      <c r="K77" s="20"/>
      <c r="L77" s="20"/>
      <c r="M77" s="20"/>
      <c r="N77" s="20"/>
      <c r="O77" s="20"/>
      <c r="P77" s="20"/>
      <c r="Q77" s="22"/>
      <c r="R77" s="22"/>
      <c r="S77" s="22"/>
      <c r="T77" s="22"/>
      <c r="U77" s="22"/>
      <c r="V77" s="20"/>
      <c r="W77" s="12"/>
      <c r="X77" s="12"/>
      <c r="Y77" s="12"/>
      <c r="Z77" s="12"/>
      <c r="AA77" s="12"/>
      <c r="AB77" s="12"/>
      <c r="AC77" s="12"/>
      <c r="AD77" s="12"/>
      <c r="AE77" s="10"/>
      <c r="AF77" s="10"/>
      <c r="AG77" s="64"/>
      <c r="AH77" s="9"/>
    </row>
    <row r="78" spans="1:34" ht="30" customHeight="1" x14ac:dyDescent="0.25">
      <c r="C78" s="20"/>
      <c r="D78" s="20"/>
      <c r="E78" s="20"/>
      <c r="F78" s="20"/>
      <c r="G78" s="20"/>
      <c r="H78" s="20"/>
      <c r="I78" s="20"/>
      <c r="J78" s="20"/>
      <c r="K78" s="20"/>
      <c r="L78" s="20"/>
      <c r="M78" s="20"/>
      <c r="N78" s="20"/>
      <c r="O78" s="20"/>
      <c r="P78" s="20"/>
      <c r="Q78" s="22"/>
      <c r="R78" s="22"/>
      <c r="S78" s="22"/>
      <c r="T78" s="22"/>
      <c r="U78" s="22"/>
      <c r="V78" s="20"/>
      <c r="W78" s="12"/>
      <c r="X78" s="12"/>
      <c r="Y78" s="12"/>
      <c r="Z78" s="12"/>
      <c r="AA78" s="12"/>
      <c r="AB78" s="12"/>
      <c r="AC78" s="12"/>
      <c r="AD78" s="12"/>
      <c r="AE78" s="10"/>
      <c r="AF78" s="10"/>
      <c r="AG78" s="64"/>
      <c r="AH78" s="9"/>
    </row>
    <row r="79" spans="1:34" ht="30" customHeight="1" x14ac:dyDescent="0.25">
      <c r="C79" s="20"/>
      <c r="D79" s="20"/>
      <c r="E79" s="20"/>
      <c r="F79" s="20"/>
      <c r="G79" s="20"/>
      <c r="H79" s="20"/>
      <c r="I79" s="20"/>
      <c r="J79" s="20"/>
      <c r="K79" s="20"/>
      <c r="L79" s="20"/>
      <c r="M79" s="20"/>
      <c r="N79" s="20"/>
      <c r="O79" s="20"/>
      <c r="P79" s="20"/>
      <c r="Q79" s="22"/>
      <c r="R79" s="22"/>
      <c r="S79" s="22"/>
      <c r="T79" s="22"/>
      <c r="U79" s="22"/>
      <c r="V79" s="20"/>
      <c r="W79" s="12"/>
      <c r="X79" s="12"/>
      <c r="Y79" s="12"/>
      <c r="Z79" s="12"/>
      <c r="AA79" s="12"/>
      <c r="AB79" s="12"/>
      <c r="AC79" s="12"/>
      <c r="AD79" s="12"/>
      <c r="AE79" s="10"/>
      <c r="AF79" s="10"/>
      <c r="AG79" s="64"/>
      <c r="AH79" s="9"/>
    </row>
    <row r="80" spans="1:34" ht="30" customHeight="1" x14ac:dyDescent="0.25">
      <c r="C80" s="20"/>
      <c r="D80" s="20"/>
      <c r="E80" s="20"/>
      <c r="F80" s="20"/>
      <c r="G80" s="20"/>
      <c r="H80" s="20"/>
      <c r="I80" s="20"/>
      <c r="J80" s="20"/>
      <c r="K80" s="20"/>
      <c r="L80" s="20"/>
      <c r="M80" s="20"/>
      <c r="N80" s="20"/>
      <c r="O80" s="20"/>
      <c r="P80" s="20"/>
      <c r="Q80" s="22"/>
      <c r="R80" s="22"/>
      <c r="S80" s="22"/>
      <c r="T80" s="22"/>
      <c r="U80" s="22"/>
      <c r="V80" s="20"/>
      <c r="W80" s="12"/>
      <c r="X80" s="12"/>
      <c r="Y80" s="12"/>
      <c r="Z80" s="12"/>
      <c r="AA80" s="12"/>
      <c r="AB80" s="12"/>
      <c r="AC80" s="12"/>
      <c r="AD80" s="12"/>
      <c r="AE80" s="10"/>
      <c r="AF80" s="10"/>
      <c r="AG80" s="64"/>
      <c r="AH80" s="9"/>
    </row>
    <row r="81" spans="1:34" ht="30" customHeight="1" x14ac:dyDescent="0.25">
      <c r="C81" s="20"/>
      <c r="D81" s="20"/>
      <c r="E81" s="20"/>
      <c r="F81" s="20"/>
      <c r="G81" s="20"/>
      <c r="H81" s="20"/>
      <c r="I81" s="20"/>
      <c r="J81" s="20"/>
      <c r="K81" s="20"/>
      <c r="L81" s="20"/>
      <c r="M81" s="20"/>
      <c r="N81" s="20"/>
      <c r="O81" s="20"/>
      <c r="P81" s="20"/>
      <c r="Q81" s="22"/>
      <c r="R81" s="22"/>
      <c r="S81" s="22"/>
      <c r="T81" s="22"/>
      <c r="U81" s="22"/>
      <c r="V81" s="20"/>
      <c r="W81" s="12"/>
      <c r="X81" s="12"/>
      <c r="Y81" s="12"/>
      <c r="Z81" s="12"/>
      <c r="AA81" s="12"/>
      <c r="AB81" s="12"/>
      <c r="AC81" s="12"/>
      <c r="AD81" s="12"/>
      <c r="AE81" s="10"/>
      <c r="AF81" s="10"/>
      <c r="AG81" s="64"/>
      <c r="AH81" s="9"/>
    </row>
    <row r="82" spans="1:34" ht="30" customHeight="1" x14ac:dyDescent="0.25">
      <c r="C82" s="20"/>
      <c r="D82" s="20"/>
      <c r="E82" s="20"/>
      <c r="F82" s="20"/>
      <c r="G82" s="20"/>
      <c r="H82" s="20"/>
      <c r="I82" s="20"/>
      <c r="J82" s="20"/>
      <c r="K82" s="20"/>
      <c r="L82" s="20"/>
      <c r="M82" s="20"/>
      <c r="N82" s="20"/>
      <c r="O82" s="20"/>
      <c r="P82" s="20"/>
      <c r="Q82" s="22"/>
      <c r="R82" s="22"/>
      <c r="S82" s="22"/>
      <c r="T82" s="22"/>
      <c r="U82" s="22"/>
      <c r="V82" s="20"/>
      <c r="W82" s="12"/>
      <c r="X82" s="12"/>
      <c r="Y82" s="12"/>
      <c r="Z82" s="12"/>
      <c r="AA82" s="12"/>
      <c r="AB82" s="12"/>
      <c r="AC82" s="12"/>
      <c r="AD82" s="12"/>
      <c r="AE82" s="10"/>
      <c r="AF82" s="10"/>
      <c r="AG82" s="64"/>
      <c r="AH82" s="9"/>
    </row>
    <row r="83" spans="1:34" ht="30" customHeight="1" x14ac:dyDescent="0.25">
      <c r="C83" s="20"/>
      <c r="D83" s="20"/>
      <c r="E83" s="20"/>
      <c r="F83" s="20"/>
      <c r="G83" s="20"/>
      <c r="H83" s="20"/>
      <c r="I83" s="20"/>
      <c r="J83" s="20"/>
      <c r="K83" s="20"/>
      <c r="L83" s="20"/>
      <c r="M83" s="20"/>
      <c r="N83" s="20"/>
      <c r="O83" s="20"/>
      <c r="P83" s="20"/>
      <c r="Q83" s="22"/>
      <c r="R83" s="22"/>
      <c r="S83" s="22"/>
      <c r="T83" s="22"/>
      <c r="U83" s="22"/>
      <c r="V83" s="20"/>
      <c r="W83" s="12"/>
      <c r="X83" s="12"/>
      <c r="Y83" s="12"/>
      <c r="Z83" s="12"/>
      <c r="AA83" s="12"/>
      <c r="AB83" s="12"/>
      <c r="AC83" s="12"/>
      <c r="AD83" s="12"/>
      <c r="AE83" s="10"/>
      <c r="AF83" s="10"/>
      <c r="AG83" s="64"/>
      <c r="AH83" s="9"/>
    </row>
    <row r="84" spans="1:34" ht="30" customHeight="1" x14ac:dyDescent="0.25">
      <c r="C84" s="20"/>
      <c r="D84" s="20"/>
      <c r="E84" s="20"/>
      <c r="F84" s="20"/>
      <c r="G84" s="20"/>
      <c r="H84" s="20"/>
      <c r="I84" s="20"/>
      <c r="J84" s="20"/>
      <c r="K84" s="20"/>
      <c r="L84" s="20"/>
      <c r="M84" s="20"/>
      <c r="N84" s="20"/>
      <c r="O84" s="20"/>
      <c r="P84" s="20"/>
      <c r="Q84" s="22"/>
      <c r="R84" s="22"/>
      <c r="S84" s="22"/>
      <c r="T84" s="22"/>
      <c r="U84" s="22"/>
      <c r="V84" s="20"/>
      <c r="W84" s="12"/>
      <c r="X84" s="12"/>
      <c r="Y84" s="12"/>
      <c r="Z84" s="12"/>
      <c r="AA84" s="12"/>
      <c r="AB84" s="12"/>
      <c r="AC84" s="12"/>
      <c r="AD84" s="12"/>
      <c r="AE84" s="10"/>
      <c r="AF84" s="10"/>
      <c r="AG84" s="64"/>
      <c r="AH84" s="9"/>
    </row>
    <row r="85" spans="1:34" ht="30" customHeight="1" x14ac:dyDescent="0.25">
      <c r="C85" s="20"/>
      <c r="D85" s="20"/>
      <c r="E85" s="20"/>
      <c r="F85" s="20"/>
      <c r="G85" s="20"/>
      <c r="H85" s="20"/>
      <c r="I85" s="20"/>
      <c r="J85" s="20"/>
      <c r="K85" s="20"/>
      <c r="L85" s="20"/>
      <c r="M85" s="20"/>
      <c r="N85" s="20"/>
      <c r="O85" s="20"/>
      <c r="P85" s="20"/>
      <c r="Q85" s="22"/>
      <c r="R85" s="22"/>
      <c r="S85" s="22"/>
      <c r="T85" s="22"/>
      <c r="U85" s="22"/>
      <c r="V85" s="20"/>
      <c r="W85" s="12"/>
      <c r="X85" s="12"/>
      <c r="Y85" s="12"/>
      <c r="Z85" s="12"/>
      <c r="AA85" s="12"/>
      <c r="AB85" s="12"/>
      <c r="AC85" s="12"/>
      <c r="AD85" s="12"/>
      <c r="AE85" s="10"/>
      <c r="AF85" s="10"/>
      <c r="AG85" s="64"/>
      <c r="AH85" s="9"/>
    </row>
    <row r="86" spans="1:34" ht="30" customHeight="1" x14ac:dyDescent="0.25">
      <c r="C86" s="20"/>
      <c r="D86" s="20"/>
      <c r="E86" s="20"/>
      <c r="F86" s="20"/>
      <c r="G86" s="20"/>
      <c r="H86" s="20"/>
      <c r="I86" s="20"/>
      <c r="J86" s="20"/>
      <c r="K86" s="20"/>
      <c r="L86" s="20"/>
      <c r="M86" s="20"/>
      <c r="N86" s="20"/>
      <c r="O86" s="20"/>
      <c r="P86" s="20"/>
      <c r="Q86" s="22"/>
      <c r="R86" s="22"/>
      <c r="S86" s="22"/>
      <c r="T86" s="22"/>
      <c r="U86" s="22"/>
      <c r="V86" s="20"/>
      <c r="W86" s="12"/>
      <c r="X86" s="12"/>
      <c r="Y86" s="12"/>
      <c r="Z86" s="12"/>
      <c r="AA86" s="12"/>
      <c r="AB86" s="12"/>
      <c r="AC86" s="12"/>
      <c r="AD86" s="12"/>
      <c r="AE86" s="10"/>
      <c r="AF86" s="10"/>
      <c r="AG86" s="64"/>
      <c r="AH86" s="9"/>
    </row>
    <row r="87" spans="1:34" ht="30" customHeight="1" x14ac:dyDescent="0.25">
      <c r="A87" s="74"/>
      <c r="B87" s="74"/>
      <c r="C87" s="20"/>
      <c r="D87" s="20"/>
      <c r="E87" s="20"/>
      <c r="F87" s="20"/>
      <c r="G87" s="20"/>
      <c r="H87" s="20"/>
      <c r="I87" s="20"/>
      <c r="J87" s="20"/>
      <c r="K87" s="20"/>
      <c r="L87" s="20"/>
      <c r="M87" s="20"/>
      <c r="N87" s="20"/>
      <c r="O87" s="20"/>
      <c r="P87" s="20"/>
      <c r="Q87" s="22"/>
      <c r="R87" s="22"/>
      <c r="S87" s="22"/>
      <c r="T87" s="22"/>
      <c r="U87" s="22"/>
      <c r="V87" s="20"/>
      <c r="W87" s="12"/>
      <c r="X87" s="12"/>
      <c r="Y87" s="12"/>
      <c r="Z87" s="12"/>
      <c r="AA87" s="12"/>
      <c r="AB87" s="12"/>
      <c r="AC87" s="12"/>
      <c r="AD87" s="12"/>
      <c r="AE87" s="10"/>
      <c r="AF87" s="10"/>
      <c r="AG87" s="64"/>
      <c r="AH87" s="9"/>
    </row>
    <row r="88" spans="1:34" ht="30" customHeight="1" x14ac:dyDescent="0.25">
      <c r="A88" s="74"/>
      <c r="B88" s="74"/>
      <c r="C88" s="20"/>
      <c r="D88" s="20"/>
      <c r="E88" s="20"/>
      <c r="F88" s="20"/>
      <c r="G88" s="20"/>
      <c r="H88" s="20"/>
      <c r="I88" s="20"/>
      <c r="J88" s="20"/>
      <c r="K88" s="20"/>
      <c r="L88" s="20"/>
      <c r="M88" s="20"/>
      <c r="N88" s="20"/>
      <c r="O88" s="20"/>
      <c r="P88" s="20"/>
      <c r="Q88" s="22"/>
      <c r="R88" s="22"/>
      <c r="S88" s="22"/>
      <c r="T88" s="22"/>
      <c r="U88" s="22"/>
      <c r="V88" s="20"/>
      <c r="W88" s="12"/>
      <c r="X88" s="12"/>
      <c r="Y88" s="12"/>
      <c r="Z88" s="12"/>
      <c r="AA88" s="12"/>
      <c r="AB88" s="12"/>
      <c r="AC88" s="12"/>
      <c r="AD88" s="12"/>
      <c r="AE88" s="10"/>
      <c r="AF88" s="10"/>
      <c r="AG88" s="64"/>
      <c r="AH88" s="9"/>
    </row>
    <row r="89" spans="1:34" ht="30" customHeight="1" x14ac:dyDescent="0.25">
      <c r="A89" s="74"/>
      <c r="B89" s="74"/>
      <c r="C89" s="20"/>
      <c r="D89" s="20"/>
      <c r="E89" s="20"/>
      <c r="F89" s="20"/>
      <c r="G89" s="20"/>
      <c r="H89" s="20"/>
      <c r="I89" s="20"/>
      <c r="J89" s="20"/>
      <c r="K89" s="20"/>
      <c r="L89" s="20"/>
      <c r="M89" s="20"/>
      <c r="N89" s="20"/>
      <c r="O89" s="20"/>
      <c r="P89" s="20"/>
      <c r="Q89" s="22"/>
      <c r="R89" s="22"/>
      <c r="S89" s="22"/>
      <c r="T89" s="22"/>
      <c r="U89" s="22"/>
      <c r="V89" s="20"/>
      <c r="W89" s="12"/>
      <c r="X89" s="12"/>
      <c r="Y89" s="12"/>
      <c r="Z89" s="12"/>
      <c r="AA89" s="12"/>
      <c r="AB89" s="12"/>
      <c r="AC89" s="12"/>
      <c r="AD89" s="12"/>
      <c r="AE89" s="10"/>
      <c r="AF89" s="10"/>
      <c r="AG89" s="64"/>
      <c r="AH89" s="9"/>
    </row>
    <row r="90" spans="1:34" ht="30" customHeight="1" x14ac:dyDescent="0.25">
      <c r="A90" s="74"/>
      <c r="B90" s="74"/>
      <c r="C90" s="20"/>
      <c r="D90" s="20"/>
      <c r="E90" s="20"/>
      <c r="F90" s="20"/>
      <c r="G90" s="20"/>
      <c r="H90" s="20"/>
      <c r="I90" s="20"/>
      <c r="J90" s="20"/>
      <c r="K90" s="20"/>
      <c r="L90" s="20"/>
      <c r="M90" s="20"/>
      <c r="N90" s="20"/>
      <c r="O90" s="20"/>
      <c r="P90" s="20"/>
      <c r="Q90" s="22"/>
      <c r="R90" s="22"/>
      <c r="S90" s="22"/>
      <c r="T90" s="22"/>
      <c r="U90" s="22"/>
      <c r="V90" s="20"/>
      <c r="W90" s="12"/>
      <c r="X90" s="12"/>
      <c r="Y90" s="12"/>
      <c r="Z90" s="12"/>
      <c r="AA90" s="12"/>
      <c r="AB90" s="12"/>
      <c r="AC90" s="12"/>
      <c r="AD90" s="12"/>
      <c r="AE90" s="10"/>
      <c r="AF90" s="10"/>
      <c r="AG90" s="64"/>
      <c r="AH90" s="9"/>
    </row>
    <row r="91" spans="1:34" ht="30" customHeight="1" x14ac:dyDescent="0.25">
      <c r="A91" s="74"/>
      <c r="B91" s="74"/>
      <c r="C91" s="20"/>
      <c r="D91" s="20"/>
      <c r="E91" s="20"/>
      <c r="F91" s="20"/>
      <c r="G91" s="20"/>
      <c r="H91" s="20"/>
      <c r="I91" s="20"/>
      <c r="J91" s="20"/>
      <c r="K91" s="20"/>
      <c r="L91" s="20"/>
      <c r="M91" s="20"/>
      <c r="N91" s="20"/>
      <c r="O91" s="20"/>
      <c r="P91" s="20"/>
      <c r="Q91" s="22"/>
      <c r="R91" s="22"/>
      <c r="S91" s="22"/>
      <c r="T91" s="22"/>
      <c r="U91" s="22"/>
      <c r="V91" s="20"/>
      <c r="W91" s="12"/>
      <c r="X91" s="12"/>
      <c r="Y91" s="12"/>
      <c r="Z91" s="12"/>
      <c r="AA91" s="12"/>
      <c r="AB91" s="12"/>
      <c r="AC91" s="12"/>
      <c r="AD91" s="12"/>
      <c r="AE91" s="10"/>
      <c r="AF91" s="10"/>
      <c r="AG91" s="64"/>
      <c r="AH91" s="9"/>
    </row>
    <row r="92" spans="1:34" ht="30" customHeight="1" x14ac:dyDescent="0.25">
      <c r="C92" s="20"/>
      <c r="D92" s="20"/>
      <c r="E92" s="20"/>
      <c r="F92" s="20"/>
      <c r="G92" s="20"/>
      <c r="H92" s="20"/>
      <c r="I92" s="20"/>
      <c r="J92" s="20"/>
      <c r="K92" s="20"/>
      <c r="L92" s="20"/>
      <c r="M92" s="20"/>
      <c r="N92" s="20"/>
      <c r="O92" s="20"/>
      <c r="P92" s="20"/>
      <c r="Q92" s="22"/>
      <c r="R92" s="22"/>
      <c r="S92" s="22"/>
      <c r="T92" s="22"/>
      <c r="U92" s="22"/>
      <c r="V92" s="20"/>
      <c r="W92" s="12"/>
      <c r="X92" s="12"/>
      <c r="Y92" s="12"/>
      <c r="Z92" s="12"/>
      <c r="AA92" s="12"/>
      <c r="AB92" s="12"/>
      <c r="AC92" s="12"/>
      <c r="AD92" s="12"/>
      <c r="AE92" s="13"/>
      <c r="AF92" s="13"/>
      <c r="AG92" s="64"/>
      <c r="AH92" s="9"/>
    </row>
    <row r="93" spans="1:34" ht="30" customHeight="1" x14ac:dyDescent="0.25">
      <c r="C93" s="20"/>
      <c r="D93" s="20"/>
      <c r="E93" s="20"/>
      <c r="F93" s="20"/>
      <c r="G93" s="20"/>
      <c r="H93" s="20"/>
      <c r="I93" s="20"/>
      <c r="J93" s="20"/>
      <c r="K93" s="20"/>
      <c r="L93" s="20"/>
      <c r="M93" s="20"/>
      <c r="N93" s="20"/>
      <c r="O93" s="20"/>
      <c r="P93" s="20"/>
      <c r="Q93" s="22"/>
      <c r="R93" s="22"/>
      <c r="S93" s="22"/>
      <c r="T93" s="22"/>
      <c r="U93" s="22"/>
      <c r="V93" s="20"/>
      <c r="W93" s="12"/>
      <c r="X93" s="12"/>
      <c r="Y93" s="12"/>
      <c r="Z93" s="12"/>
      <c r="AA93" s="12"/>
      <c r="AB93" s="12"/>
      <c r="AC93" s="12"/>
      <c r="AD93" s="12"/>
      <c r="AE93" s="10"/>
      <c r="AF93" s="10"/>
      <c r="AG93" s="64"/>
      <c r="AH93" s="9"/>
    </row>
    <row r="94" spans="1:34" ht="30" customHeight="1" x14ac:dyDescent="0.25">
      <c r="C94" s="20"/>
      <c r="D94" s="20"/>
      <c r="E94" s="20"/>
      <c r="F94" s="20"/>
      <c r="G94" s="20"/>
      <c r="H94" s="20"/>
      <c r="I94" s="20"/>
      <c r="J94" s="20"/>
      <c r="K94" s="20"/>
      <c r="L94" s="20"/>
      <c r="M94" s="20"/>
      <c r="N94" s="20"/>
      <c r="O94" s="20"/>
      <c r="P94" s="20"/>
      <c r="Q94" s="22"/>
      <c r="R94" s="22"/>
      <c r="S94" s="22"/>
      <c r="T94" s="22"/>
      <c r="U94" s="22"/>
      <c r="V94" s="20"/>
      <c r="W94" s="12"/>
      <c r="X94" s="12"/>
      <c r="Y94" s="12"/>
      <c r="Z94" s="12"/>
      <c r="AA94" s="12"/>
      <c r="AB94" s="12"/>
      <c r="AC94" s="12"/>
      <c r="AD94" s="12"/>
      <c r="AE94" s="10"/>
      <c r="AF94" s="10"/>
      <c r="AG94" s="64"/>
      <c r="AH94" s="9"/>
    </row>
    <row r="95" spans="1:34" ht="30" customHeight="1" x14ac:dyDescent="0.25">
      <c r="C95" s="20"/>
      <c r="D95" s="20"/>
      <c r="E95" s="20"/>
      <c r="F95" s="20"/>
      <c r="G95" s="20"/>
      <c r="H95" s="20"/>
      <c r="I95" s="20"/>
      <c r="J95" s="20"/>
      <c r="K95" s="20"/>
      <c r="L95" s="20"/>
      <c r="M95" s="20"/>
      <c r="N95" s="20"/>
      <c r="O95" s="20"/>
      <c r="P95" s="20"/>
      <c r="Q95" s="22"/>
      <c r="R95" s="22"/>
      <c r="S95" s="22"/>
      <c r="T95" s="22"/>
      <c r="U95" s="22"/>
      <c r="V95" s="20"/>
      <c r="W95" s="12"/>
      <c r="X95" s="12"/>
      <c r="Y95" s="12"/>
      <c r="Z95" s="12"/>
      <c r="AA95" s="12"/>
      <c r="AB95" s="12"/>
      <c r="AC95" s="12"/>
      <c r="AD95" s="12"/>
      <c r="AE95" s="10"/>
      <c r="AF95" s="10"/>
      <c r="AG95" s="64"/>
      <c r="AH95" s="9"/>
    </row>
    <row r="96" spans="1:34" ht="30" customHeight="1" x14ac:dyDescent="0.25">
      <c r="C96" s="20"/>
      <c r="D96" s="20"/>
      <c r="E96" s="20"/>
      <c r="F96" s="20"/>
      <c r="G96" s="20"/>
      <c r="H96" s="20"/>
      <c r="I96" s="20"/>
      <c r="J96" s="20"/>
      <c r="K96" s="20"/>
      <c r="L96" s="20"/>
      <c r="M96" s="20"/>
      <c r="N96" s="20"/>
      <c r="O96" s="20"/>
      <c r="P96" s="20"/>
      <c r="Q96" s="22"/>
      <c r="R96" s="22"/>
      <c r="S96" s="22"/>
      <c r="T96" s="22"/>
      <c r="U96" s="22"/>
      <c r="V96" s="20"/>
      <c r="W96" s="12"/>
      <c r="X96" s="12"/>
      <c r="Y96" s="12"/>
      <c r="Z96" s="12"/>
      <c r="AA96" s="12"/>
      <c r="AB96" s="12"/>
      <c r="AC96" s="12"/>
      <c r="AD96" s="12"/>
      <c r="AE96" s="10"/>
      <c r="AF96" s="10"/>
      <c r="AG96" s="64"/>
      <c r="AH96" s="9"/>
    </row>
    <row r="97" spans="3:34" ht="30" customHeight="1" x14ac:dyDescent="0.25">
      <c r="C97" s="20"/>
      <c r="D97" s="20"/>
      <c r="E97" s="20"/>
      <c r="F97" s="20"/>
      <c r="G97" s="20"/>
      <c r="H97" s="20"/>
      <c r="I97" s="20"/>
      <c r="J97" s="20"/>
      <c r="K97" s="20"/>
      <c r="L97" s="20"/>
      <c r="M97" s="20"/>
      <c r="N97" s="20"/>
      <c r="O97" s="20"/>
      <c r="P97" s="20"/>
      <c r="Q97" s="22"/>
      <c r="R97" s="22"/>
      <c r="S97" s="22"/>
      <c r="T97" s="22"/>
      <c r="U97" s="22"/>
      <c r="V97" s="20"/>
      <c r="W97" s="12"/>
      <c r="X97" s="12"/>
      <c r="Y97" s="12"/>
      <c r="Z97" s="12"/>
      <c r="AA97" s="12"/>
      <c r="AB97" s="12"/>
      <c r="AC97" s="12"/>
      <c r="AD97" s="12"/>
      <c r="AE97" s="10"/>
      <c r="AF97" s="10"/>
      <c r="AG97" s="64"/>
      <c r="AH97" s="9"/>
    </row>
    <row r="98" spans="3:34" ht="30" customHeight="1" x14ac:dyDescent="0.25">
      <c r="C98" s="20"/>
      <c r="D98" s="20"/>
      <c r="E98" s="20"/>
      <c r="F98" s="20"/>
      <c r="G98" s="20"/>
      <c r="H98" s="20"/>
      <c r="I98" s="20"/>
      <c r="J98" s="20"/>
      <c r="K98" s="20"/>
      <c r="L98" s="20"/>
      <c r="M98" s="20"/>
      <c r="N98" s="20"/>
      <c r="O98" s="20"/>
      <c r="P98" s="20"/>
      <c r="Q98" s="22"/>
      <c r="R98" s="22"/>
      <c r="S98" s="22"/>
      <c r="T98" s="22"/>
      <c r="U98" s="22"/>
      <c r="V98" s="20"/>
      <c r="W98" s="12"/>
      <c r="X98" s="12"/>
      <c r="Y98" s="12"/>
      <c r="Z98" s="12"/>
      <c r="AA98" s="12"/>
      <c r="AB98" s="12"/>
      <c r="AC98" s="12"/>
      <c r="AD98" s="12"/>
      <c r="AE98" s="10"/>
      <c r="AF98" s="10"/>
      <c r="AG98" s="64"/>
      <c r="AH98" s="9"/>
    </row>
    <row r="99" spans="3:34" ht="30" customHeight="1" x14ac:dyDescent="0.25">
      <c r="C99" s="20"/>
      <c r="D99" s="20"/>
      <c r="E99" s="20"/>
      <c r="F99" s="20"/>
      <c r="G99" s="20"/>
      <c r="H99" s="20"/>
      <c r="I99" s="20"/>
      <c r="J99" s="20"/>
      <c r="K99" s="20"/>
      <c r="L99" s="20"/>
      <c r="M99" s="20"/>
      <c r="N99" s="20"/>
      <c r="O99" s="20"/>
      <c r="P99" s="20"/>
      <c r="Q99" s="22"/>
      <c r="R99" s="22"/>
      <c r="S99" s="22"/>
      <c r="T99" s="22"/>
      <c r="U99" s="22"/>
      <c r="V99" s="20"/>
      <c r="W99" s="12"/>
      <c r="X99" s="12"/>
      <c r="Y99" s="12"/>
      <c r="Z99" s="12"/>
      <c r="AA99" s="12"/>
      <c r="AB99" s="12"/>
      <c r="AC99" s="12"/>
      <c r="AD99" s="12"/>
      <c r="AE99" s="10"/>
      <c r="AF99" s="10"/>
      <c r="AG99" s="64"/>
      <c r="AH99" s="9"/>
    </row>
    <row r="100" spans="3:34" ht="30" customHeight="1" x14ac:dyDescent="0.25">
      <c r="C100" s="20"/>
      <c r="D100" s="20"/>
      <c r="E100" s="20"/>
      <c r="F100" s="20"/>
      <c r="G100" s="20"/>
      <c r="H100" s="20"/>
      <c r="I100" s="20"/>
      <c r="J100" s="20"/>
      <c r="K100" s="20"/>
      <c r="L100" s="20"/>
      <c r="M100" s="20"/>
      <c r="N100" s="20"/>
      <c r="O100" s="20"/>
      <c r="P100" s="20"/>
      <c r="Q100" s="22"/>
      <c r="R100" s="22"/>
      <c r="S100" s="22"/>
      <c r="T100" s="22"/>
      <c r="U100" s="22"/>
      <c r="V100" s="20"/>
      <c r="W100" s="12"/>
      <c r="X100" s="12"/>
      <c r="Y100" s="12"/>
      <c r="Z100" s="12"/>
      <c r="AA100" s="12"/>
      <c r="AB100" s="12"/>
      <c r="AC100" s="12"/>
      <c r="AD100" s="12"/>
      <c r="AE100" s="10"/>
      <c r="AF100" s="10"/>
      <c r="AG100" s="64"/>
      <c r="AH100" s="9"/>
    </row>
    <row r="101" spans="3:34" ht="30" customHeight="1" x14ac:dyDescent="0.25">
      <c r="C101" s="20"/>
      <c r="D101" s="20"/>
      <c r="E101" s="20"/>
      <c r="F101" s="20"/>
      <c r="G101" s="20"/>
      <c r="H101" s="20"/>
      <c r="I101" s="20"/>
      <c r="J101" s="20"/>
      <c r="K101" s="20"/>
      <c r="L101" s="20"/>
      <c r="M101" s="20"/>
      <c r="N101" s="20"/>
      <c r="O101" s="20"/>
      <c r="P101" s="20"/>
      <c r="Q101" s="22"/>
      <c r="R101" s="22"/>
      <c r="S101" s="22"/>
      <c r="T101" s="22"/>
      <c r="U101" s="22"/>
      <c r="V101" s="20"/>
      <c r="W101" s="12"/>
      <c r="X101" s="12"/>
      <c r="Y101" s="12"/>
      <c r="Z101" s="12"/>
      <c r="AA101" s="12"/>
      <c r="AB101" s="12"/>
      <c r="AC101" s="12"/>
      <c r="AD101" s="12"/>
      <c r="AE101" s="10"/>
      <c r="AF101" s="10"/>
      <c r="AG101" s="64"/>
      <c r="AH101" s="9"/>
    </row>
    <row r="102" spans="3:34" ht="30" customHeight="1" x14ac:dyDescent="0.25">
      <c r="C102" s="20"/>
      <c r="D102" s="20"/>
      <c r="E102" s="20"/>
      <c r="F102" s="20"/>
      <c r="G102" s="20"/>
      <c r="H102" s="20"/>
      <c r="I102" s="20"/>
      <c r="J102" s="20"/>
      <c r="K102" s="20"/>
      <c r="L102" s="20"/>
      <c r="M102" s="20"/>
      <c r="N102" s="20"/>
      <c r="O102" s="20"/>
      <c r="P102" s="20"/>
      <c r="Q102" s="22"/>
      <c r="R102" s="22"/>
      <c r="S102" s="22"/>
      <c r="T102" s="22"/>
      <c r="U102" s="22"/>
      <c r="V102" s="20"/>
      <c r="W102" s="12"/>
      <c r="X102" s="12"/>
      <c r="Y102" s="12"/>
      <c r="Z102" s="12"/>
      <c r="AA102" s="12"/>
      <c r="AB102" s="12"/>
      <c r="AC102" s="12"/>
      <c r="AD102" s="12"/>
      <c r="AE102" s="10"/>
      <c r="AF102" s="10"/>
      <c r="AG102" s="64"/>
      <c r="AH102" s="9"/>
    </row>
    <row r="103" spans="3:34" ht="30" customHeight="1" x14ac:dyDescent="0.25">
      <c r="C103" s="20"/>
      <c r="D103" s="20"/>
      <c r="E103" s="20"/>
      <c r="F103" s="20"/>
      <c r="G103" s="20"/>
      <c r="H103" s="20"/>
      <c r="I103" s="20"/>
      <c r="J103" s="20"/>
      <c r="K103" s="20"/>
      <c r="L103" s="20"/>
      <c r="M103" s="20"/>
      <c r="N103" s="20"/>
      <c r="O103" s="20"/>
      <c r="P103" s="20"/>
      <c r="Q103" s="22"/>
      <c r="R103" s="22"/>
      <c r="S103" s="22"/>
      <c r="T103" s="22"/>
      <c r="U103" s="22"/>
      <c r="V103" s="20"/>
      <c r="W103" s="12"/>
      <c r="X103" s="12"/>
      <c r="Y103" s="12"/>
      <c r="Z103" s="12"/>
      <c r="AA103" s="12"/>
      <c r="AB103" s="12"/>
      <c r="AC103" s="12"/>
      <c r="AD103" s="12"/>
      <c r="AE103" s="10"/>
      <c r="AF103" s="10"/>
      <c r="AG103" s="64"/>
      <c r="AH103" s="9"/>
    </row>
    <row r="104" spans="3:34" ht="30" customHeight="1" x14ac:dyDescent="0.25">
      <c r="C104" s="20"/>
      <c r="D104" s="20"/>
      <c r="E104" s="20"/>
      <c r="F104" s="20"/>
      <c r="G104" s="20"/>
      <c r="H104" s="20"/>
      <c r="I104" s="20"/>
      <c r="J104" s="20"/>
      <c r="K104" s="20"/>
      <c r="L104" s="20"/>
      <c r="M104" s="20"/>
      <c r="N104" s="20"/>
      <c r="O104" s="20"/>
      <c r="P104" s="20"/>
      <c r="Q104" s="22"/>
      <c r="R104" s="22"/>
      <c r="S104" s="22"/>
      <c r="T104" s="22"/>
      <c r="U104" s="22"/>
      <c r="V104" s="20"/>
      <c r="W104" s="12"/>
      <c r="X104" s="12"/>
      <c r="Y104" s="12"/>
      <c r="Z104" s="12"/>
      <c r="AA104" s="12"/>
      <c r="AB104" s="12"/>
      <c r="AC104" s="12"/>
      <c r="AD104" s="12"/>
      <c r="AE104" s="10"/>
      <c r="AF104" s="10"/>
      <c r="AG104" s="64"/>
      <c r="AH104" s="9"/>
    </row>
    <row r="105" spans="3:34" ht="30" customHeight="1" x14ac:dyDescent="0.25">
      <c r="C105" s="20"/>
      <c r="D105" s="20"/>
      <c r="E105" s="20"/>
      <c r="F105" s="20"/>
      <c r="G105" s="20"/>
      <c r="H105" s="20"/>
      <c r="I105" s="20"/>
      <c r="J105" s="20"/>
      <c r="K105" s="20"/>
      <c r="L105" s="20"/>
      <c r="M105" s="20"/>
      <c r="N105" s="20"/>
      <c r="O105" s="20"/>
      <c r="P105" s="20"/>
      <c r="Q105" s="22"/>
      <c r="R105" s="22"/>
      <c r="S105" s="22"/>
      <c r="T105" s="22"/>
      <c r="U105" s="22"/>
      <c r="V105" s="20"/>
      <c r="W105" s="12"/>
      <c r="X105" s="12"/>
      <c r="Y105" s="12"/>
      <c r="Z105" s="12"/>
      <c r="AA105" s="12"/>
      <c r="AB105" s="12"/>
      <c r="AC105" s="12"/>
      <c r="AD105" s="12"/>
      <c r="AE105" s="10"/>
      <c r="AF105" s="10"/>
      <c r="AG105" s="64"/>
      <c r="AH105" s="9"/>
    </row>
    <row r="106" spans="3:34" ht="30" customHeight="1" x14ac:dyDescent="0.25">
      <c r="C106" s="20"/>
      <c r="D106" s="20"/>
      <c r="E106" s="20"/>
      <c r="F106" s="20"/>
      <c r="G106" s="20"/>
      <c r="H106" s="20"/>
      <c r="I106" s="20"/>
      <c r="J106" s="20"/>
      <c r="K106" s="20"/>
      <c r="L106" s="20"/>
      <c r="M106" s="20"/>
      <c r="N106" s="20"/>
      <c r="O106" s="20"/>
      <c r="P106" s="20"/>
      <c r="Q106" s="22"/>
      <c r="R106" s="22"/>
      <c r="S106" s="22"/>
      <c r="T106" s="22"/>
      <c r="U106" s="22"/>
      <c r="V106" s="20"/>
      <c r="W106" s="12"/>
      <c r="X106" s="12"/>
      <c r="Y106" s="12"/>
      <c r="Z106" s="12"/>
      <c r="AA106" s="12"/>
      <c r="AB106" s="12"/>
      <c r="AC106" s="12"/>
      <c r="AD106" s="12"/>
      <c r="AE106" s="10"/>
      <c r="AF106" s="10"/>
      <c r="AG106" s="64"/>
      <c r="AH106" s="9"/>
    </row>
    <row r="107" spans="3:34" ht="30" customHeight="1" x14ac:dyDescent="0.25">
      <c r="C107" s="20"/>
      <c r="D107" s="20"/>
      <c r="E107" s="20"/>
      <c r="F107" s="20"/>
      <c r="G107" s="20"/>
      <c r="H107" s="20"/>
      <c r="I107" s="20"/>
      <c r="J107" s="20"/>
      <c r="K107" s="20"/>
      <c r="L107" s="20"/>
      <c r="M107" s="20"/>
      <c r="N107" s="20"/>
      <c r="O107" s="20"/>
      <c r="P107" s="20"/>
      <c r="Q107" s="22"/>
      <c r="R107" s="22"/>
      <c r="S107" s="22"/>
      <c r="T107" s="22"/>
      <c r="U107" s="22"/>
      <c r="V107" s="20"/>
      <c r="W107" s="12"/>
      <c r="X107" s="12"/>
      <c r="Y107" s="12"/>
      <c r="Z107" s="12"/>
      <c r="AA107" s="12"/>
      <c r="AB107" s="12"/>
      <c r="AC107" s="12"/>
      <c r="AD107" s="12"/>
      <c r="AE107" s="10"/>
      <c r="AF107" s="10"/>
      <c r="AG107" s="64"/>
      <c r="AH107" s="9"/>
    </row>
    <row r="108" spans="3:34" ht="30" customHeight="1" x14ac:dyDescent="0.25">
      <c r="C108" s="20"/>
      <c r="D108" s="20"/>
      <c r="E108" s="20"/>
      <c r="F108" s="20"/>
      <c r="G108" s="20"/>
      <c r="H108" s="20"/>
      <c r="I108" s="20"/>
      <c r="J108" s="20"/>
      <c r="K108" s="20"/>
      <c r="L108" s="20"/>
      <c r="M108" s="20"/>
      <c r="N108" s="20"/>
      <c r="O108" s="20"/>
      <c r="P108" s="20"/>
      <c r="Q108" s="22"/>
      <c r="R108" s="22"/>
      <c r="S108" s="22"/>
      <c r="T108" s="22"/>
      <c r="U108" s="22"/>
      <c r="V108" s="20"/>
      <c r="W108" s="12"/>
      <c r="X108" s="12"/>
      <c r="Y108" s="12"/>
      <c r="Z108" s="12"/>
      <c r="AA108" s="12"/>
      <c r="AB108" s="12"/>
      <c r="AC108" s="12"/>
      <c r="AD108" s="12"/>
      <c r="AE108" s="10"/>
      <c r="AF108" s="10"/>
      <c r="AG108" s="64"/>
      <c r="AH108" s="9"/>
    </row>
    <row r="109" spans="3:34" ht="30" customHeight="1" x14ac:dyDescent="0.25">
      <c r="C109" s="20"/>
      <c r="D109" s="20"/>
      <c r="E109" s="20"/>
      <c r="F109" s="20"/>
      <c r="G109" s="20"/>
      <c r="H109" s="20"/>
      <c r="I109" s="20"/>
      <c r="J109" s="20"/>
      <c r="K109" s="20"/>
      <c r="L109" s="20"/>
      <c r="M109" s="20"/>
      <c r="N109" s="20"/>
      <c r="O109" s="20"/>
      <c r="P109" s="20"/>
      <c r="Q109" s="22"/>
      <c r="R109" s="22"/>
      <c r="S109" s="22"/>
      <c r="T109" s="22"/>
      <c r="U109" s="22"/>
      <c r="V109" s="20"/>
      <c r="W109" s="12"/>
      <c r="X109" s="12"/>
      <c r="Y109" s="12"/>
      <c r="Z109" s="12"/>
      <c r="AA109" s="12"/>
      <c r="AB109" s="12"/>
      <c r="AC109" s="12"/>
      <c r="AD109" s="12"/>
      <c r="AE109" s="10"/>
      <c r="AF109" s="10"/>
      <c r="AG109" s="64"/>
      <c r="AH109" s="9"/>
    </row>
    <row r="110" spans="3:34" ht="30" customHeight="1" x14ac:dyDescent="0.25">
      <c r="C110" s="20"/>
      <c r="D110" s="20"/>
      <c r="E110" s="20"/>
      <c r="F110" s="20"/>
      <c r="G110" s="20"/>
      <c r="H110" s="20"/>
      <c r="I110" s="20"/>
      <c r="J110" s="20"/>
      <c r="K110" s="20"/>
      <c r="L110" s="20"/>
      <c r="M110" s="20"/>
      <c r="N110" s="20"/>
      <c r="O110" s="20"/>
      <c r="P110" s="20"/>
      <c r="Q110" s="22"/>
      <c r="R110" s="22"/>
      <c r="S110" s="22"/>
      <c r="T110" s="22"/>
      <c r="U110" s="22"/>
      <c r="V110" s="20"/>
      <c r="W110" s="12"/>
      <c r="X110" s="12"/>
      <c r="Y110" s="12"/>
      <c r="Z110" s="12"/>
      <c r="AA110" s="12"/>
      <c r="AB110" s="12"/>
      <c r="AC110" s="12"/>
      <c r="AD110" s="12"/>
      <c r="AE110" s="10"/>
      <c r="AF110" s="10"/>
      <c r="AG110" s="64"/>
      <c r="AH110" s="9"/>
    </row>
    <row r="111" spans="3:34" ht="30" customHeight="1" x14ac:dyDescent="0.25">
      <c r="C111" s="20"/>
      <c r="D111" s="20"/>
      <c r="E111" s="20"/>
      <c r="F111" s="20"/>
      <c r="G111" s="20"/>
      <c r="H111" s="20"/>
      <c r="I111" s="20"/>
      <c r="J111" s="20"/>
      <c r="K111" s="20"/>
      <c r="L111" s="20"/>
      <c r="M111" s="20"/>
      <c r="N111" s="20"/>
      <c r="O111" s="20"/>
      <c r="P111" s="20"/>
      <c r="Q111" s="22"/>
      <c r="R111" s="22"/>
      <c r="S111" s="22"/>
      <c r="T111" s="22"/>
      <c r="U111" s="22"/>
      <c r="V111" s="20"/>
      <c r="W111" s="12"/>
      <c r="X111" s="12"/>
      <c r="Y111" s="12"/>
      <c r="Z111" s="12"/>
      <c r="AA111" s="12"/>
      <c r="AB111" s="12"/>
      <c r="AC111" s="12"/>
      <c r="AD111" s="12"/>
      <c r="AE111" s="10"/>
      <c r="AF111" s="10"/>
      <c r="AG111" s="64"/>
      <c r="AH111" s="9"/>
    </row>
    <row r="112" spans="3:34" ht="30" customHeight="1" x14ac:dyDescent="0.25">
      <c r="C112" s="20"/>
      <c r="D112" s="20"/>
      <c r="E112" s="20"/>
      <c r="F112" s="20"/>
      <c r="G112" s="20"/>
      <c r="H112" s="20"/>
      <c r="I112" s="20"/>
      <c r="J112" s="20"/>
      <c r="K112" s="20"/>
      <c r="L112" s="20"/>
      <c r="M112" s="20"/>
      <c r="N112" s="20"/>
      <c r="O112" s="20"/>
      <c r="P112" s="20"/>
      <c r="Q112" s="22"/>
      <c r="R112" s="22"/>
      <c r="S112" s="22"/>
      <c r="T112" s="22"/>
      <c r="U112" s="22"/>
      <c r="V112" s="20"/>
      <c r="W112" s="12"/>
      <c r="X112" s="12"/>
      <c r="Y112" s="12"/>
      <c r="Z112" s="12"/>
      <c r="AA112" s="12"/>
      <c r="AB112" s="12"/>
      <c r="AC112" s="12"/>
      <c r="AD112" s="12"/>
      <c r="AE112" s="10"/>
      <c r="AF112" s="10"/>
      <c r="AG112" s="64"/>
      <c r="AH112" s="9"/>
    </row>
    <row r="113" spans="3:34" ht="30" customHeight="1" x14ac:dyDescent="0.25">
      <c r="C113" s="20"/>
      <c r="D113" s="20"/>
      <c r="E113" s="20"/>
      <c r="F113" s="20"/>
      <c r="G113" s="20"/>
      <c r="H113" s="20"/>
      <c r="I113" s="20"/>
      <c r="J113" s="20"/>
      <c r="K113" s="20"/>
      <c r="L113" s="20"/>
      <c r="M113" s="20"/>
      <c r="N113" s="20"/>
      <c r="O113" s="20"/>
      <c r="P113" s="20"/>
      <c r="Q113" s="22"/>
      <c r="R113" s="22"/>
      <c r="S113" s="22"/>
      <c r="T113" s="22"/>
      <c r="U113" s="22"/>
      <c r="V113" s="20"/>
      <c r="W113" s="12"/>
      <c r="X113" s="12"/>
      <c r="Y113" s="12"/>
      <c r="Z113" s="12"/>
      <c r="AA113" s="12"/>
      <c r="AB113" s="12"/>
      <c r="AC113" s="12"/>
      <c r="AD113" s="12"/>
      <c r="AE113" s="10"/>
      <c r="AF113" s="10"/>
      <c r="AG113" s="64"/>
      <c r="AH113" s="9"/>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workbookViewId="0">
      <pane xSplit="2" ySplit="2" topLeftCell="E6" activePane="bottomRight" state="frozen"/>
      <selection pane="topRight" activeCell="C1" sqref="C1"/>
      <selection pane="bottomLeft" activeCell="A2" sqref="A2"/>
      <selection pane="bottomRight" activeCell="I7" sqref="I7:J8"/>
    </sheetView>
  </sheetViews>
  <sheetFormatPr baseColWidth="10" defaultColWidth="15.7109375" defaultRowHeight="30" customHeight="1" x14ac:dyDescent="0.25"/>
  <cols>
    <col min="1" max="2" width="15.7109375" style="72" customWidth="1"/>
    <col min="3" max="3" width="21.28515625" style="35" customWidth="1"/>
    <col min="4" max="4" width="23.5703125" style="35" customWidth="1"/>
    <col min="5" max="5" width="23.85546875" style="35" customWidth="1"/>
    <col min="6" max="6" width="20.42578125" style="35" customWidth="1"/>
    <col min="7" max="7" width="19.140625" style="35" customWidth="1"/>
    <col min="8" max="8" width="18.140625" style="35" customWidth="1"/>
    <col min="9" max="9" width="26.5703125" style="35" customWidth="1"/>
    <col min="10" max="10" width="15.7109375" style="35"/>
    <col min="11" max="11" width="104.7109375" style="35" customWidth="1"/>
    <col min="12" max="16384" width="15.7109375" style="35"/>
  </cols>
  <sheetData>
    <row r="1" spans="1:11" ht="30" hidden="1" customHeight="1" x14ac:dyDescent="0.25">
      <c r="A1" s="224" t="s">
        <v>221</v>
      </c>
      <c r="B1" s="224" t="s">
        <v>222</v>
      </c>
      <c r="C1" s="224" t="s">
        <v>54</v>
      </c>
      <c r="D1" s="226" t="s">
        <v>55</v>
      </c>
      <c r="E1" s="60" t="s">
        <v>56</v>
      </c>
      <c r="F1" s="60" t="s">
        <v>57</v>
      </c>
      <c r="G1" s="60" t="s">
        <v>72</v>
      </c>
      <c r="H1" s="224" t="s">
        <v>3</v>
      </c>
      <c r="I1" s="224" t="s">
        <v>18</v>
      </c>
      <c r="J1" s="224" t="s">
        <v>4</v>
      </c>
      <c r="K1" s="226" t="s">
        <v>5</v>
      </c>
    </row>
    <row r="2" spans="1:11" ht="83.25" customHeight="1" x14ac:dyDescent="0.25">
      <c r="A2" s="224" t="s">
        <v>221</v>
      </c>
      <c r="B2" s="224" t="s">
        <v>222</v>
      </c>
      <c r="C2" s="224" t="s">
        <v>474</v>
      </c>
      <c r="D2" s="226" t="s">
        <v>475</v>
      </c>
      <c r="E2" s="277" t="s">
        <v>476</v>
      </c>
      <c r="F2" s="277" t="s">
        <v>477</v>
      </c>
      <c r="G2" s="277" t="s">
        <v>478</v>
      </c>
      <c r="H2" s="224" t="s">
        <v>3</v>
      </c>
      <c r="I2" s="224" t="s">
        <v>18</v>
      </c>
      <c r="J2" s="224" t="s">
        <v>4</v>
      </c>
      <c r="K2" s="226" t="s">
        <v>5</v>
      </c>
    </row>
    <row r="3" spans="1:11" s="169" customFormat="1" ht="30" customHeight="1" x14ac:dyDescent="0.25">
      <c r="A3" s="227">
        <v>2012</v>
      </c>
      <c r="B3" s="227">
        <v>2011</v>
      </c>
      <c r="C3" s="197">
        <f>ROUND(C4*(1.021),0)</f>
        <v>2385</v>
      </c>
      <c r="D3" s="197">
        <f t="shared" ref="D3:G3" si="0">ROUND(D4*(1.021),0)</f>
        <v>4125</v>
      </c>
      <c r="E3" s="197">
        <f t="shared" si="0"/>
        <v>916</v>
      </c>
      <c r="F3" s="197">
        <f t="shared" si="0"/>
        <v>675</v>
      </c>
      <c r="G3" s="197">
        <f t="shared" si="0"/>
        <v>896</v>
      </c>
      <c r="H3" s="191"/>
      <c r="I3" s="191"/>
      <c r="J3" s="191"/>
      <c r="K3" s="300" t="s">
        <v>122</v>
      </c>
    </row>
    <row r="4" spans="1:11" s="72" customFormat="1" ht="30" customHeight="1" x14ac:dyDescent="0.25">
      <c r="A4" s="227">
        <v>2011</v>
      </c>
      <c r="B4" s="227">
        <v>2010</v>
      </c>
      <c r="C4" s="258">
        <v>2336</v>
      </c>
      <c r="D4" s="41">
        <v>4040</v>
      </c>
      <c r="E4" s="217">
        <v>897</v>
      </c>
      <c r="F4" s="217">
        <v>661</v>
      </c>
      <c r="G4" s="217">
        <v>878</v>
      </c>
      <c r="H4" s="213" t="s">
        <v>19</v>
      </c>
      <c r="I4" s="213" t="s">
        <v>223</v>
      </c>
      <c r="J4" s="214">
        <v>40542</v>
      </c>
      <c r="K4" s="300"/>
    </row>
    <row r="5" spans="1:11" s="72" customFormat="1" ht="30" customHeight="1" x14ac:dyDescent="0.25">
      <c r="A5" s="227">
        <v>2010</v>
      </c>
      <c r="B5" s="227">
        <v>2009</v>
      </c>
      <c r="C5" s="258">
        <v>2301</v>
      </c>
      <c r="D5" s="41">
        <v>3980</v>
      </c>
      <c r="E5" s="217">
        <v>884</v>
      </c>
      <c r="F5" s="217">
        <v>651</v>
      </c>
      <c r="G5" s="217">
        <v>866</v>
      </c>
      <c r="H5" s="213" t="s">
        <v>20</v>
      </c>
      <c r="I5" s="213" t="s">
        <v>224</v>
      </c>
      <c r="J5" s="214">
        <v>40178</v>
      </c>
      <c r="K5" s="61"/>
    </row>
    <row r="6" spans="1:11" s="72" customFormat="1" ht="30" customHeight="1" x14ac:dyDescent="0.25">
      <c r="A6" s="227">
        <v>2009</v>
      </c>
      <c r="B6" s="227">
        <v>2008</v>
      </c>
      <c r="C6" s="258">
        <v>2292</v>
      </c>
      <c r="D6" s="41">
        <v>3964</v>
      </c>
      <c r="E6" s="217">
        <v>880</v>
      </c>
      <c r="F6" s="217">
        <v>648</v>
      </c>
      <c r="G6" s="217">
        <v>862</v>
      </c>
      <c r="H6" s="213" t="s">
        <v>21</v>
      </c>
      <c r="I6" s="213" t="s">
        <v>225</v>
      </c>
      <c r="J6" s="214">
        <v>39810</v>
      </c>
      <c r="K6" s="61"/>
    </row>
    <row r="7" spans="1:11" s="72" customFormat="1" ht="30" customHeight="1" x14ac:dyDescent="0.25">
      <c r="A7" s="227">
        <v>2008</v>
      </c>
      <c r="B7" s="227">
        <v>2007</v>
      </c>
      <c r="C7" s="258">
        <v>2227</v>
      </c>
      <c r="D7" s="41">
        <v>3852</v>
      </c>
      <c r="E7" s="217">
        <v>855</v>
      </c>
      <c r="F7" s="217">
        <v>630</v>
      </c>
      <c r="G7" s="217">
        <v>838</v>
      </c>
      <c r="H7" s="218" t="s">
        <v>22</v>
      </c>
      <c r="I7" s="213" t="s">
        <v>226</v>
      </c>
      <c r="J7" s="214">
        <v>39443</v>
      </c>
      <c r="K7" s="61"/>
    </row>
    <row r="8" spans="1:11" s="72" customFormat="1" ht="30" customHeight="1" x14ac:dyDescent="0.25">
      <c r="A8" s="227">
        <v>2007</v>
      </c>
      <c r="B8" s="227">
        <v>2006</v>
      </c>
      <c r="C8" s="258">
        <v>2198</v>
      </c>
      <c r="D8" s="41">
        <v>3803</v>
      </c>
      <c r="E8" s="217">
        <v>844</v>
      </c>
      <c r="F8" s="217">
        <v>622</v>
      </c>
      <c r="G8" s="217">
        <v>828</v>
      </c>
      <c r="H8" s="213" t="s">
        <v>23</v>
      </c>
      <c r="I8" s="213" t="s">
        <v>227</v>
      </c>
      <c r="J8" s="214">
        <v>39078</v>
      </c>
      <c r="K8" s="54"/>
    </row>
    <row r="9" spans="1:11" s="72" customFormat="1" ht="30" customHeight="1" x14ac:dyDescent="0.25">
      <c r="A9" s="227">
        <v>2006</v>
      </c>
      <c r="B9" s="227">
        <v>2005</v>
      </c>
      <c r="C9" s="258">
        <v>2159</v>
      </c>
      <c r="D9" s="41">
        <v>3736</v>
      </c>
      <c r="E9" s="217">
        <v>829</v>
      </c>
      <c r="F9" s="217">
        <v>611</v>
      </c>
      <c r="G9" s="217">
        <v>814</v>
      </c>
      <c r="H9" s="213" t="s">
        <v>24</v>
      </c>
      <c r="I9" s="213" t="s">
        <v>228</v>
      </c>
      <c r="J9" s="214">
        <v>38717</v>
      </c>
      <c r="K9" s="61"/>
    </row>
    <row r="10" spans="1:11" s="72" customFormat="1" ht="30" customHeight="1" x14ac:dyDescent="0.25">
      <c r="A10" s="227">
        <v>2005</v>
      </c>
      <c r="B10" s="227">
        <v>2004</v>
      </c>
      <c r="C10" s="258">
        <v>2121</v>
      </c>
      <c r="D10" s="41">
        <v>3670</v>
      </c>
      <c r="E10" s="217">
        <v>814</v>
      </c>
      <c r="F10" s="217">
        <v>600</v>
      </c>
      <c r="G10" s="217">
        <v>800</v>
      </c>
      <c r="H10" s="213" t="s">
        <v>25</v>
      </c>
      <c r="I10" s="213" t="s">
        <v>229</v>
      </c>
      <c r="J10" s="214">
        <v>38352</v>
      </c>
      <c r="K10" s="61"/>
    </row>
    <row r="11" spans="1:11" s="72" customFormat="1" ht="30" customHeight="1" x14ac:dyDescent="0.25">
      <c r="A11" s="227">
        <v>2004</v>
      </c>
      <c r="B11" s="227">
        <v>2003</v>
      </c>
      <c r="C11" s="258">
        <v>2086</v>
      </c>
      <c r="D11" s="41">
        <v>3609</v>
      </c>
      <c r="E11" s="217">
        <v>800</v>
      </c>
      <c r="F11" s="217">
        <v>590</v>
      </c>
      <c r="G11" s="217">
        <v>786</v>
      </c>
      <c r="H11" s="213" t="s">
        <v>26</v>
      </c>
      <c r="I11" s="213" t="s">
        <v>230</v>
      </c>
      <c r="J11" s="214">
        <v>37986</v>
      </c>
      <c r="K11" s="61"/>
    </row>
    <row r="12" spans="1:11" s="72" customFormat="1" ht="30" customHeight="1" x14ac:dyDescent="0.25">
      <c r="A12" s="227">
        <v>2003</v>
      </c>
      <c r="B12" s="227">
        <v>2002</v>
      </c>
      <c r="C12" s="258">
        <v>2051</v>
      </c>
      <c r="D12" s="41">
        <v>3549</v>
      </c>
      <c r="E12" s="217">
        <v>980</v>
      </c>
      <c r="F12" s="217">
        <v>579</v>
      </c>
      <c r="G12" s="217">
        <v>772</v>
      </c>
      <c r="H12" s="213" t="s">
        <v>27</v>
      </c>
      <c r="I12" s="213" t="s">
        <v>231</v>
      </c>
      <c r="J12" s="214">
        <v>37621</v>
      </c>
      <c r="K12" s="61"/>
    </row>
    <row r="13" spans="1:11" s="72" customFormat="1" ht="30" customHeight="1" x14ac:dyDescent="0.25">
      <c r="A13" s="227">
        <v>2002</v>
      </c>
      <c r="B13" s="227">
        <v>2001</v>
      </c>
      <c r="C13" s="258">
        <v>2017</v>
      </c>
      <c r="D13" s="41">
        <v>3490</v>
      </c>
      <c r="E13" s="217">
        <v>964</v>
      </c>
      <c r="F13" s="217">
        <v>570</v>
      </c>
      <c r="G13" s="217">
        <v>760</v>
      </c>
      <c r="H13" s="213" t="s">
        <v>28</v>
      </c>
      <c r="I13" s="213" t="s">
        <v>232</v>
      </c>
      <c r="J13" s="214">
        <v>37254</v>
      </c>
      <c r="K13" s="61"/>
    </row>
    <row r="14" spans="1:11" s="73" customFormat="1" ht="30" customHeight="1" x14ac:dyDescent="0.25">
      <c r="A14" s="227">
        <v>2001</v>
      </c>
      <c r="B14" s="227">
        <v>2000</v>
      </c>
      <c r="C14" s="259">
        <f>12440</f>
        <v>12440</v>
      </c>
      <c r="D14" s="260">
        <v>21930</v>
      </c>
      <c r="E14" s="219">
        <v>6220</v>
      </c>
      <c r="F14" s="219">
        <v>4260</v>
      </c>
      <c r="G14" s="219">
        <v>4900</v>
      </c>
      <c r="H14" s="213" t="s">
        <v>29</v>
      </c>
      <c r="I14" s="213" t="s">
        <v>233</v>
      </c>
      <c r="J14" s="214">
        <v>36891</v>
      </c>
      <c r="K14" s="284" t="s">
        <v>479</v>
      </c>
    </row>
    <row r="15" spans="1:11" s="73" customFormat="1" ht="30" customHeight="1" x14ac:dyDescent="0.25">
      <c r="A15" s="227">
        <v>2000</v>
      </c>
      <c r="B15" s="227">
        <v>1999</v>
      </c>
      <c r="C15" s="259">
        <v>11060</v>
      </c>
      <c r="D15" s="219">
        <v>20370</v>
      </c>
      <c r="E15" s="219">
        <v>6130</v>
      </c>
      <c r="F15" s="219">
        <v>5410</v>
      </c>
      <c r="G15" s="219">
        <v>3350</v>
      </c>
      <c r="H15" s="213" t="s">
        <v>167</v>
      </c>
      <c r="I15" s="213" t="s">
        <v>234</v>
      </c>
      <c r="J15" s="214">
        <v>36525</v>
      </c>
      <c r="K15" s="70"/>
    </row>
    <row r="16" spans="1:11" s="73" customFormat="1" ht="30" customHeight="1" x14ac:dyDescent="0.25">
      <c r="A16" s="227">
        <v>1999</v>
      </c>
      <c r="B16" s="227">
        <v>1998</v>
      </c>
      <c r="C16" s="219">
        <v>11000</v>
      </c>
      <c r="D16" s="219">
        <v>20270</v>
      </c>
      <c r="E16" s="219">
        <v>6100</v>
      </c>
      <c r="F16" s="219">
        <v>5380</v>
      </c>
      <c r="G16" s="219">
        <v>3330</v>
      </c>
      <c r="H16" s="213" t="s">
        <v>29</v>
      </c>
      <c r="I16" s="213" t="s">
        <v>235</v>
      </c>
      <c r="J16" s="214">
        <v>36160</v>
      </c>
      <c r="K16" s="80" t="s">
        <v>481</v>
      </c>
    </row>
    <row r="17" spans="1:11" s="73" customFormat="1" ht="30" customHeight="1" x14ac:dyDescent="0.25">
      <c r="A17" s="227">
        <v>1998</v>
      </c>
      <c r="B17" s="227">
        <v>1997</v>
      </c>
      <c r="C17" s="219">
        <f>16380</f>
        <v>16380</v>
      </c>
      <c r="D17" s="219">
        <v>20270</v>
      </c>
      <c r="E17" s="219">
        <v>6100</v>
      </c>
      <c r="F17" s="221"/>
      <c r="G17" s="219">
        <v>3300</v>
      </c>
      <c r="H17" s="213"/>
      <c r="I17" s="213" t="s">
        <v>236</v>
      </c>
      <c r="J17" s="214">
        <v>35795</v>
      </c>
      <c r="K17" s="80" t="s">
        <v>480</v>
      </c>
    </row>
    <row r="18" spans="1:11" s="73" customFormat="1" ht="30" customHeight="1" x14ac:dyDescent="0.25">
      <c r="A18" s="227">
        <v>1997</v>
      </c>
      <c r="B18" s="227">
        <v>1996</v>
      </c>
      <c r="C18" s="219">
        <f>16200</f>
        <v>16200</v>
      </c>
      <c r="D18" s="219">
        <v>20050</v>
      </c>
      <c r="E18" s="221"/>
      <c r="F18" s="221"/>
      <c r="G18" s="219">
        <v>3260</v>
      </c>
      <c r="H18" s="213"/>
      <c r="I18" s="218" t="s">
        <v>237</v>
      </c>
      <c r="J18" s="214">
        <v>35430</v>
      </c>
      <c r="K18" s="70"/>
    </row>
    <row r="19" spans="1:11" s="73" customFormat="1" ht="30" customHeight="1" x14ac:dyDescent="0.25">
      <c r="A19" s="227">
        <v>1996</v>
      </c>
      <c r="B19" s="227">
        <v>1995</v>
      </c>
      <c r="C19" s="219">
        <v>15900</v>
      </c>
      <c r="D19" s="219">
        <v>19680</v>
      </c>
      <c r="E19" s="221"/>
      <c r="F19" s="221"/>
      <c r="G19" s="219">
        <v>4320</v>
      </c>
      <c r="H19" s="220"/>
      <c r="I19" s="218" t="s">
        <v>238</v>
      </c>
      <c r="J19" s="222">
        <v>35064</v>
      </c>
      <c r="K19" s="70"/>
    </row>
    <row r="20" spans="1:11" s="73" customFormat="1" ht="30" customHeight="1" x14ac:dyDescent="0.25">
      <c r="A20" s="227">
        <v>1995</v>
      </c>
      <c r="B20" s="227">
        <v>1994</v>
      </c>
      <c r="C20" s="219">
        <v>15620</v>
      </c>
      <c r="D20" s="219">
        <v>19330</v>
      </c>
      <c r="E20" s="221"/>
      <c r="F20" s="221"/>
      <c r="G20" s="219">
        <v>4240</v>
      </c>
      <c r="H20" s="71"/>
      <c r="I20" s="218" t="s">
        <v>239</v>
      </c>
      <c r="J20" s="222">
        <v>34698</v>
      </c>
      <c r="K20" s="70"/>
    </row>
    <row r="21" spans="1:11" ht="30" customHeight="1" x14ac:dyDescent="0.25">
      <c r="A21" s="227">
        <v>1994</v>
      </c>
      <c r="B21" s="227">
        <v>1993</v>
      </c>
      <c r="C21" s="219">
        <v>15400</v>
      </c>
      <c r="D21" s="219">
        <v>19060</v>
      </c>
      <c r="E21" s="215"/>
      <c r="F21" s="223"/>
      <c r="G21" s="219">
        <v>4180</v>
      </c>
      <c r="H21" s="71"/>
      <c r="I21" s="71"/>
      <c r="J21" s="62"/>
      <c r="K21" s="70"/>
    </row>
    <row r="22" spans="1:11" ht="30" customHeight="1" x14ac:dyDescent="0.25">
      <c r="A22" s="227">
        <v>1993</v>
      </c>
      <c r="B22" s="227">
        <v>1992</v>
      </c>
      <c r="C22" s="219">
        <v>12910</v>
      </c>
      <c r="D22" s="219">
        <v>16500</v>
      </c>
      <c r="E22" s="223"/>
      <c r="F22" s="223"/>
      <c r="G22" s="219">
        <v>5110</v>
      </c>
      <c r="H22" s="71"/>
      <c r="I22" s="71"/>
      <c r="J22" s="62"/>
      <c r="K22" s="70"/>
    </row>
    <row r="23" spans="1:11" ht="30" customHeight="1" x14ac:dyDescent="0.25">
      <c r="A23" s="227">
        <v>1992</v>
      </c>
      <c r="B23" s="227">
        <v>1991</v>
      </c>
      <c r="C23" s="219">
        <v>12550</v>
      </c>
      <c r="D23" s="219">
        <v>16050</v>
      </c>
      <c r="E23" s="223"/>
      <c r="F23" s="223"/>
      <c r="G23" s="219">
        <v>4970</v>
      </c>
      <c r="H23" s="220"/>
      <c r="I23" s="220"/>
      <c r="J23" s="220"/>
      <c r="K23" s="220"/>
    </row>
    <row r="24" spans="1:11" ht="30" customHeight="1" x14ac:dyDescent="0.25">
      <c r="A24" s="227">
        <v>1991</v>
      </c>
      <c r="B24" s="227">
        <v>1990</v>
      </c>
      <c r="C24" s="219">
        <v>12180</v>
      </c>
      <c r="D24" s="219">
        <v>15580</v>
      </c>
      <c r="E24" s="223"/>
      <c r="F24" s="223"/>
      <c r="G24" s="219">
        <v>4820</v>
      </c>
      <c r="H24" s="220"/>
      <c r="I24" s="220"/>
      <c r="J24" s="220"/>
      <c r="K24" s="220"/>
    </row>
    <row r="25" spans="1:11" ht="30" customHeight="1" x14ac:dyDescent="0.25">
      <c r="A25" s="227">
        <v>1990</v>
      </c>
      <c r="B25" s="227">
        <v>1989</v>
      </c>
      <c r="C25" s="219">
        <v>11800</v>
      </c>
      <c r="D25" s="219">
        <v>15090</v>
      </c>
      <c r="E25" s="223"/>
      <c r="F25" s="223"/>
      <c r="G25" s="219">
        <v>4670</v>
      </c>
      <c r="H25" s="220"/>
      <c r="I25" s="220"/>
      <c r="J25" s="220"/>
      <c r="K25" s="220"/>
    </row>
    <row r="26" spans="1:11" ht="30" customHeight="1" x14ac:dyDescent="0.25">
      <c r="A26" s="227">
        <v>1989</v>
      </c>
      <c r="B26" s="227">
        <v>1988</v>
      </c>
      <c r="C26" s="219">
        <v>11420</v>
      </c>
      <c r="D26" s="219">
        <v>14600</v>
      </c>
      <c r="E26" s="223"/>
      <c r="F26" s="223"/>
      <c r="G26" s="219">
        <v>4520</v>
      </c>
      <c r="H26" s="220"/>
      <c r="I26" s="220"/>
      <c r="J26" s="220"/>
      <c r="K26" s="220"/>
    </row>
    <row r="27" spans="1:11" ht="30" customHeight="1" x14ac:dyDescent="0.25">
      <c r="A27" s="227">
        <v>1988</v>
      </c>
      <c r="B27" s="227">
        <v>1987</v>
      </c>
      <c r="C27" s="219">
        <v>11130</v>
      </c>
      <c r="D27" s="219">
        <v>14230</v>
      </c>
      <c r="E27" s="223"/>
      <c r="F27" s="223"/>
      <c r="G27" s="219">
        <v>4520</v>
      </c>
      <c r="H27" s="220"/>
      <c r="I27" s="220"/>
      <c r="J27" s="220"/>
      <c r="K27" s="220"/>
    </row>
    <row r="28" spans="1:11" ht="30" customHeight="1" x14ac:dyDescent="0.25">
      <c r="A28" s="227">
        <v>1987</v>
      </c>
      <c r="B28" s="227">
        <v>1986</v>
      </c>
      <c r="C28" s="219">
        <v>10770</v>
      </c>
      <c r="D28" s="219">
        <v>13770</v>
      </c>
      <c r="E28" s="223"/>
      <c r="F28" s="223"/>
      <c r="G28" s="219">
        <v>4400</v>
      </c>
      <c r="H28" s="220"/>
      <c r="I28" s="220"/>
      <c r="J28" s="220"/>
      <c r="K28" s="220"/>
    </row>
    <row r="29" spans="1:11" ht="30" customHeight="1" x14ac:dyDescent="0.25">
      <c r="A29" s="227">
        <v>1986</v>
      </c>
      <c r="B29" s="227">
        <v>1985</v>
      </c>
      <c r="C29" s="219">
        <v>10520</v>
      </c>
      <c r="D29" s="223"/>
      <c r="E29" s="223"/>
      <c r="F29" s="223"/>
      <c r="G29" s="219"/>
      <c r="H29" s="220"/>
      <c r="I29" s="220"/>
      <c r="J29" s="220"/>
      <c r="K29" s="220"/>
    </row>
    <row r="30" spans="1:11" ht="30" customHeight="1" x14ac:dyDescent="0.25">
      <c r="A30" s="227">
        <v>1985</v>
      </c>
      <c r="B30" s="227">
        <v>1984</v>
      </c>
      <c r="C30" s="219">
        <v>9960</v>
      </c>
      <c r="D30" s="223"/>
      <c r="E30" s="223"/>
      <c r="F30" s="223"/>
      <c r="G30" s="219"/>
      <c r="H30" s="220"/>
      <c r="I30" s="220"/>
      <c r="J30" s="220"/>
      <c r="K30" s="220"/>
    </row>
    <row r="31" spans="1:11" ht="30" customHeight="1" x14ac:dyDescent="0.25">
      <c r="A31" s="227">
        <v>1984</v>
      </c>
      <c r="B31" s="227">
        <v>1983</v>
      </c>
      <c r="C31" s="219">
        <v>9250</v>
      </c>
      <c r="D31" s="223"/>
      <c r="E31" s="223"/>
      <c r="F31" s="223"/>
      <c r="G31" s="219"/>
      <c r="H31" s="220"/>
      <c r="I31" s="220"/>
      <c r="J31" s="220"/>
      <c r="K31" s="220"/>
    </row>
    <row r="32" spans="1:11" ht="30" customHeight="1" x14ac:dyDescent="0.25">
      <c r="A32" s="227">
        <v>1983</v>
      </c>
      <c r="B32" s="227">
        <v>1982</v>
      </c>
      <c r="C32" s="219">
        <v>8450</v>
      </c>
      <c r="D32" s="223"/>
      <c r="E32" s="223"/>
      <c r="F32" s="223"/>
      <c r="G32" s="219"/>
      <c r="H32" s="220"/>
      <c r="I32" s="220"/>
      <c r="J32" s="220"/>
      <c r="K32" s="220"/>
    </row>
    <row r="33" spans="1:11" ht="30" customHeight="1" x14ac:dyDescent="0.25">
      <c r="A33" s="227">
        <v>1982</v>
      </c>
      <c r="B33" s="227">
        <v>1981</v>
      </c>
      <c r="C33" s="219">
        <v>7500</v>
      </c>
      <c r="D33" s="223"/>
      <c r="E33" s="223"/>
      <c r="F33" s="223"/>
      <c r="G33" s="219"/>
      <c r="H33" s="220"/>
      <c r="I33" s="220"/>
      <c r="J33" s="220"/>
      <c r="K33" s="220"/>
    </row>
    <row r="88" spans="1:2" ht="30" customHeight="1" x14ac:dyDescent="0.25">
      <c r="A88" s="147"/>
      <c r="B88" s="147"/>
    </row>
    <row r="89" spans="1:2" ht="30" customHeight="1" x14ac:dyDescent="0.25">
      <c r="A89" s="147"/>
      <c r="B89" s="147"/>
    </row>
    <row r="90" spans="1:2" ht="30" customHeight="1" x14ac:dyDescent="0.25">
      <c r="A90" s="147"/>
      <c r="B90" s="147"/>
    </row>
    <row r="91" spans="1:2" ht="30" customHeight="1" x14ac:dyDescent="0.25">
      <c r="A91" s="147"/>
      <c r="B91" s="147"/>
    </row>
    <row r="92" spans="1:2" ht="30" customHeight="1" x14ac:dyDescent="0.25">
      <c r="A92" s="147"/>
      <c r="B92" s="147"/>
    </row>
  </sheetData>
  <mergeCells count="1">
    <mergeCell ref="K3:K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28</vt:i4>
      </vt:variant>
    </vt:vector>
  </HeadingPairs>
  <TitlesOfParts>
    <vt:vector size="28" baseType="lpstr">
      <vt:lpstr>Sommaire</vt:lpstr>
      <vt:lpstr>deduc_sal</vt:lpstr>
      <vt:lpstr>RCM</vt:lpstr>
      <vt:lpstr>micro</vt:lpstr>
      <vt:lpstr>charg_deduc</vt:lpstr>
      <vt:lpstr>abat_RNI</vt:lpstr>
      <vt:lpstr>exo_IR</vt:lpstr>
      <vt:lpstr>Barème IR</vt:lpstr>
      <vt:lpstr>plaf_qf</vt:lpstr>
      <vt:lpstr>pv</vt:lpstr>
      <vt:lpstr>dons</vt:lpstr>
      <vt:lpstr>cot_synd</vt:lpstr>
      <vt:lpstr>SOFIPECHE</vt:lpstr>
      <vt:lpstr>sal_dom</vt:lpstr>
      <vt:lpstr>prest_compen</vt:lpstr>
      <vt:lpstr>FCP</vt:lpstr>
      <vt:lpstr>SOFICA</vt:lpstr>
      <vt:lpstr>PME</vt:lpstr>
      <vt:lpstr>forêt</vt:lpstr>
      <vt:lpstr>enfscol</vt:lpstr>
      <vt:lpstr>heberg_santé</vt:lpstr>
      <vt:lpstr>habitat_princ</vt:lpstr>
      <vt:lpstr>codev</vt:lpstr>
      <vt:lpstr>divers</vt:lpstr>
      <vt:lpstr>gardenf</vt:lpstr>
      <vt:lpstr>PPE</vt:lpstr>
      <vt:lpstr>plaf_nich</vt:lpstr>
      <vt:lpstr>taxe_HR</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Jonathan Goupille</cp:lastModifiedBy>
  <dcterms:created xsi:type="dcterms:W3CDTF">2011-10-26T07:32:36Z</dcterms:created>
  <dcterms:modified xsi:type="dcterms:W3CDTF">2012-05-16T12:38:58Z</dcterms:modified>
</cp:coreProperties>
</file>